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мета 2011" sheetId="1" r:id="rId1"/>
    <sheet name="штатное " sheetId="2" r:id="rId2"/>
    <sheet name="анализ роста ЕСН" sheetId="3" r:id="rId3"/>
  </sheets>
  <definedNames>
    <definedName name="_xlnm.Print_Titles" localSheetId="0">'смета 2011'!$19:$21</definedName>
  </definedNames>
  <calcPr fullCalcOnLoad="1"/>
</workbook>
</file>

<file path=xl/sharedStrings.xml><?xml version="1.0" encoding="utf-8"?>
<sst xmlns="http://schemas.openxmlformats.org/spreadsheetml/2006/main" count="256" uniqueCount="225">
  <si>
    <t>№ п/п</t>
  </si>
  <si>
    <t>Статьи доходов и расходов</t>
  </si>
  <si>
    <t>Плата за содержание и ремонт общего имущества в доме</t>
  </si>
  <si>
    <t>Доходы от сдачи в аренду общего имущества ТСЖ</t>
  </si>
  <si>
    <t>ИТОГО ДОХОДОВ:</t>
  </si>
  <si>
    <t>ДОХОДЫ</t>
  </si>
  <si>
    <t>РАСХОДЫ</t>
  </si>
  <si>
    <t>Административно-управленческие расходы ТСЖ, в том числе:</t>
  </si>
  <si>
    <t>УТВЕРЖДЕНО:</t>
  </si>
  <si>
    <t>ИТОГО РАСХОДОВ:</t>
  </si>
  <si>
    <t>ПРОФЕССИЯ (ДОЛЖНОСТЬ)</t>
  </si>
  <si>
    <t>ОКЛАД по штату (в руб.)</t>
  </si>
  <si>
    <t>Примечание</t>
  </si>
  <si>
    <t>Итого:</t>
  </si>
  <si>
    <t>Председатель Правления</t>
  </si>
  <si>
    <t>ИТОГО на оплату труда:</t>
  </si>
  <si>
    <t>Зарплата по штату (в руб.)</t>
  </si>
  <si>
    <t>РК 15 %</t>
  </si>
  <si>
    <t>на управление, содержание и ремонт общего имущества</t>
  </si>
  <si>
    <t>Справочная информация</t>
  </si>
  <si>
    <t>Кол-во</t>
  </si>
  <si>
    <t>% к общей площади</t>
  </si>
  <si>
    <t>Количество лифтов,шт.</t>
  </si>
  <si>
    <t>Количество подъездов, шт.</t>
  </si>
  <si>
    <t>Количество квартир, шт.</t>
  </si>
  <si>
    <t>Количество офисов, шт.</t>
  </si>
  <si>
    <t>Площадь жилых помещений, кв.м.</t>
  </si>
  <si>
    <t>Площадь офисов, кв.м.</t>
  </si>
  <si>
    <t>Площадь гаражных боксов, кв.м.</t>
  </si>
  <si>
    <t>Количество гаражных боксов, шт.</t>
  </si>
  <si>
    <t>от собственников гаражных боксов</t>
  </si>
  <si>
    <t>от собственников офисов</t>
  </si>
  <si>
    <t>ИТОГО на оплату труда за год:</t>
  </si>
  <si>
    <t>Благоустройство</t>
  </si>
  <si>
    <t>прокос газонов</t>
  </si>
  <si>
    <t>завоз песка, земли, отсева</t>
  </si>
  <si>
    <t xml:space="preserve">Прочие поступления </t>
  </si>
  <si>
    <t>Сумма, руб.</t>
  </si>
  <si>
    <t>Капитальный ремонт и реконструкция</t>
  </si>
  <si>
    <t>САЛЬДО ДОХОДОВ-РАСХОДОВ</t>
  </si>
  <si>
    <t>2.1.</t>
  </si>
  <si>
    <t>2.2.</t>
  </si>
  <si>
    <t>2.3.</t>
  </si>
  <si>
    <t>2.4.</t>
  </si>
  <si>
    <t>ИТОГО общая площадь, кв.м.:</t>
  </si>
  <si>
    <t>налог на УСН</t>
  </si>
  <si>
    <t>очистка кровли от мусора</t>
  </si>
  <si>
    <t>Дворник</t>
  </si>
  <si>
    <t>Текущие ремонты общего имущества дома</t>
  </si>
  <si>
    <t>устранение поломок (двери, окна, доводчики, ручки, светильники и т.д.)</t>
  </si>
  <si>
    <t>Резерв на отпуска, руб.</t>
  </si>
  <si>
    <t>обслуживание системы телеметрии (ООО "Интерэнерго")</t>
  </si>
  <si>
    <t>техобслуживание лифтов (ООО "Лифтмонтаж-1")</t>
  </si>
  <si>
    <t>паспортное обслуживание (МУ УЖКХ Верх-Исетского района)</t>
  </si>
  <si>
    <t>в год</t>
  </si>
  <si>
    <t>в месяц</t>
  </si>
  <si>
    <t>от собственников жилых помещений</t>
  </si>
  <si>
    <t>Председатель Правления                                                 Карманов К.В.</t>
  </si>
  <si>
    <t>КОЛ-ВО ШТАТНЫХ ЕДИНИЦ (ставок)</t>
  </si>
  <si>
    <t>1.1.</t>
  </si>
  <si>
    <t>1.2.</t>
  </si>
  <si>
    <t>1.3.</t>
  </si>
  <si>
    <t>1.4.</t>
  </si>
  <si>
    <t>1.5.</t>
  </si>
  <si>
    <t>1.6.</t>
  </si>
  <si>
    <t>2.2.1.</t>
  </si>
  <si>
    <t>2.2.2.</t>
  </si>
  <si>
    <t>2.2.3.</t>
  </si>
  <si>
    <t>2.2.4.</t>
  </si>
  <si>
    <t>2.5.</t>
  </si>
  <si>
    <t>2.6.</t>
  </si>
  <si>
    <t>2.7.</t>
  </si>
  <si>
    <t>2.8.</t>
  </si>
  <si>
    <t>2.9.</t>
  </si>
  <si>
    <t>2.10.</t>
  </si>
  <si>
    <t>2.11.</t>
  </si>
  <si>
    <t>Фонд капитального ремонта (стр. 1.5. - стр. 2.10.)</t>
  </si>
  <si>
    <t>2.12.</t>
  </si>
  <si>
    <t>Резервный фонд (стр. 1.8. - сумма (стр. 2.1. - стр. 2.11.))</t>
  </si>
  <si>
    <t>вакансия</t>
  </si>
  <si>
    <t>ФИО работника</t>
  </si>
  <si>
    <t>РК 15 %, руб.</t>
  </si>
  <si>
    <t>Премия 30 %, руб.</t>
  </si>
  <si>
    <t>совм.</t>
  </si>
  <si>
    <t>Итого начислено</t>
  </si>
  <si>
    <t>расчетно-кассовое обслуживание в банке (ОАО "Русь-Банк-Урал"), ЕРЦ</t>
  </si>
  <si>
    <t>Итого расходов на персонал, руб.</t>
  </si>
  <si>
    <t>обслуживание и ремонт домофонов (ООО "СВД-Инжиниринг")</t>
  </si>
  <si>
    <t>страхование лифтов (ООО "СК "Цюрих Ритейл")</t>
  </si>
  <si>
    <t xml:space="preserve"> Эксплуатационные расходы на содержание и обслуживание общего имущества дома и гаража</t>
  </si>
  <si>
    <t xml:space="preserve"> Эксплуатационные расходы на содержание и обслуживание общего имущества дома, в том числе:</t>
  </si>
  <si>
    <t>техосвидетельствование лифтов (Союзлифтмонтаж)</t>
  </si>
  <si>
    <t>ремонт, покраска детской площадки</t>
  </si>
  <si>
    <t>фонд оплаты труда работников+ЕСН+РК (дворник, уборщицы)</t>
  </si>
  <si>
    <t>В том числе</t>
  </si>
  <si>
    <t>гараж</t>
  </si>
  <si>
    <t>тариф, руб./кв.м.</t>
  </si>
  <si>
    <t>санитарная обработка подвалов (ОАО "Екатеринбургская дезинфекционная станция")</t>
  </si>
  <si>
    <t>в год, руб</t>
  </si>
  <si>
    <t>в год, руб.</t>
  </si>
  <si>
    <t>почтовые расходы</t>
  </si>
  <si>
    <t>семинары, обучение, обновление программного обеспечения</t>
  </si>
  <si>
    <t>поверка общедомовых приборов учета ТЭКОН, датчиков</t>
  </si>
  <si>
    <t>замена контрольно-измерительных приборов, датчиков</t>
  </si>
  <si>
    <t>ремонт автоматических ворот гаража</t>
  </si>
  <si>
    <t>непредвиденные расходы (ликвидация аварий и т.д.)</t>
  </si>
  <si>
    <t>непредвиденные расходы на ремонты, замену оборудования</t>
  </si>
  <si>
    <t>с учетом отпускных</t>
  </si>
  <si>
    <t>приобретение электрозапчастей и ламп</t>
  </si>
  <si>
    <t xml:space="preserve">установка заборов на тротуаре на въезде во двор с ул. Сварщиков, на газоне у аптеки  </t>
  </si>
  <si>
    <t>2.2.5.</t>
  </si>
  <si>
    <t>2.2.6.</t>
  </si>
  <si>
    <t>2.2.7.</t>
  </si>
  <si>
    <t>Итого расходов на персонал, руб. в год</t>
  </si>
  <si>
    <t>уборка механизированных способом и вывоз снега</t>
  </si>
  <si>
    <t>установка деревянной горки на детской площадке</t>
  </si>
  <si>
    <t>установка энергосберегающих светильников с датчиками в МОП</t>
  </si>
  <si>
    <t>Приме-чание</t>
  </si>
  <si>
    <t>допсбор с жилого фонда и офисов</t>
  </si>
  <si>
    <t>квартиры, офисы</t>
  </si>
  <si>
    <t>госпошлина по искам, нотариус, юридические расходы</t>
  </si>
  <si>
    <t>приобретение запчастей, комплектующих, инструмента, хозинвентаря</t>
  </si>
  <si>
    <t xml:space="preserve">СМЕТА ДОХОДОВ И РАСХОДОВ </t>
  </si>
  <si>
    <t>ТСЖ "ТАТИЩЕВА,92" на 2011 год.</t>
  </si>
  <si>
    <t>Администрация</t>
  </si>
  <si>
    <t>Главный бухгалтер</t>
  </si>
  <si>
    <t>Служба эксплуатации</t>
  </si>
  <si>
    <t>Управляющий имуществом</t>
  </si>
  <si>
    <t>Член Правления</t>
  </si>
  <si>
    <t>Слесарь-сантехник</t>
  </si>
  <si>
    <t>Электромонтер дежурный</t>
  </si>
  <si>
    <t>Слесарь-сантехник дежурный</t>
  </si>
  <si>
    <t>Оператор лифтовой диспетчерской связи</t>
  </si>
  <si>
    <t>Двойнишников А.Г.</t>
  </si>
  <si>
    <t>Истомина Е.Г.</t>
  </si>
  <si>
    <t>Коновалова Т.И.</t>
  </si>
  <si>
    <t>Инженер по ТБ</t>
  </si>
  <si>
    <t>Делопроизводитель</t>
  </si>
  <si>
    <t>Уборщик помещений</t>
  </si>
  <si>
    <t>фонд оплаты труда работников+ЕСН+РК (АУП, бухгалтерия)</t>
  </si>
  <si>
    <t>фонд оплаты труда технического персонала+ЕСН+РК (служба эксплуатации)</t>
  </si>
  <si>
    <t>озеленение придомовой территории (высадка деревьев по внешнему периметру дома)</t>
  </si>
  <si>
    <t>вывоз твердых бытовых отходов (ООО "Экосистема")</t>
  </si>
  <si>
    <t>изготовление козырьков над входами в гараж и мастерскую</t>
  </si>
  <si>
    <t>канцелярские расходы, расходные материалы для оргтехники (бумага, картриджи, дискеты)</t>
  </si>
  <si>
    <t>Слесарь-ремонтник-плотник</t>
  </si>
  <si>
    <t>обслуживание системы сигнализации превышения СО (гараж)</t>
  </si>
  <si>
    <t>восстановление автоматики системы сигнализации СО и пожаротушения, вентиляции (гараж)</t>
  </si>
  <si>
    <t xml:space="preserve"> Штатное расписание ТСЖ "Татищева,92" на 2011 год.</t>
  </si>
  <si>
    <t>Энергетик-электромонтер (ответственный за эл/хозяйство)</t>
  </si>
  <si>
    <t>промывка теплообменников систем ГВС и отопления</t>
  </si>
  <si>
    <t>2.2.8.</t>
  </si>
  <si>
    <t>аренда зала для проведения общего собрания</t>
  </si>
  <si>
    <t>2.2.9.</t>
  </si>
  <si>
    <t>2.2.10.</t>
  </si>
  <si>
    <t>компенсация транспортных расходов</t>
  </si>
  <si>
    <t>Диспетчеры</t>
  </si>
  <si>
    <t>выполнение проекта ограждения двора</t>
  </si>
  <si>
    <t>косметический ремонт 3-х подъездов</t>
  </si>
  <si>
    <t>диспетчерское обслуживание (оплата диспетчеров, аренда помещения)</t>
  </si>
  <si>
    <t>обслуживание системы ОПС, дымоудаления дома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</si>
  <si>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</si>
  <si>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</si>
  <si>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</si>
  <si>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</si>
  <si>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</si>
  <si>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</si>
  <si>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</si>
  <si>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</si>
  <si>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</si>
  <si>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</si>
  <si>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2.2.11.</t>
  </si>
  <si>
    <t>2.2.12.</t>
  </si>
  <si>
    <t>2.2.13.</t>
  </si>
  <si>
    <t>2.2.14.</t>
  </si>
  <si>
    <t>2.2.15.</t>
  </si>
  <si>
    <t>Итого затраты на управление и содержание общего имущества (стр. 2.1. + стр. 2.2.)</t>
  </si>
  <si>
    <t>Итого затраты на управление и содержание общего имущества за вычетом  дополнительных поступлений  (стр. 2.3. - стр. 1.3.)</t>
  </si>
  <si>
    <t xml:space="preserve"> Допзатраты на содержание общего имущества жилых помещений и офисов (стр. 2.6. + стр. 2.7. + стр. 2.8.)</t>
  </si>
  <si>
    <t>Карманов К.В.</t>
  </si>
  <si>
    <t>Чурилова О.С.</t>
  </si>
  <si>
    <t>Ленский Д.В.</t>
  </si>
  <si>
    <t>Зеленый В.А.</t>
  </si>
  <si>
    <t>Новицкая Е.Н.</t>
  </si>
  <si>
    <t>Савина К.А.</t>
  </si>
  <si>
    <t>Хохлова Т.А.</t>
  </si>
  <si>
    <t>2010 год</t>
  </si>
  <si>
    <t>2011 год</t>
  </si>
  <si>
    <t>Итого расходов на ФОТ, руб.</t>
  </si>
  <si>
    <t>Наименование затрат</t>
  </si>
  <si>
    <t>2011 с учетом повышения на 10 %</t>
  </si>
  <si>
    <t>Размер оклада, руб.</t>
  </si>
  <si>
    <t>Начисление ЕСН, руб.</t>
  </si>
  <si>
    <t>Увеличение расходов на ФОТ, %</t>
  </si>
  <si>
    <t>механизированная промывка пола гаража (1 раз в год)</t>
  </si>
  <si>
    <t>Друзь Я.В.</t>
  </si>
  <si>
    <t>Размер ежемесячного сбора, руб./1 кв.м.</t>
  </si>
  <si>
    <t>Размер ежемесячного сбора на охрану, руб./1 кв.м.</t>
  </si>
  <si>
    <t>Размер единовременного целевого сбора на ограждение двора, систему контроля доступа и видеонаблюдения руб./1 кв.м.</t>
  </si>
  <si>
    <t>Смета на ограждение двора, систему контроля доступа и видеонаблюдения, руб.</t>
  </si>
  <si>
    <t>Площадь квартир, кв.м.</t>
  </si>
  <si>
    <t>Площадь квартир, офисов, гаражей дома, дома, кв.м.</t>
  </si>
  <si>
    <t>Ежемесячный ФОТ по оплате консьержек из расчета 450 руб./смена х 7 х 365 / 12</t>
  </si>
  <si>
    <t>установка рольставней на окно электрощитовой № 1</t>
  </si>
  <si>
    <t>техническое обслуживание общедомовых приборов учета тепловой энергии (ООО "Интерэнерго")</t>
  </si>
  <si>
    <t>аудиторские услуги</t>
  </si>
  <si>
    <t>ЕСН 26,2 %, руб.</t>
  </si>
  <si>
    <t>ЕСН 26,2 %</t>
  </si>
  <si>
    <t>Ежемесячный ФОТ с учетом ЕСН и НДФЛ, х 1,412</t>
  </si>
  <si>
    <t>Экономия 2010 года</t>
  </si>
  <si>
    <t>квартиры</t>
  </si>
  <si>
    <t>офисы</t>
  </si>
  <si>
    <t>гаражи</t>
  </si>
  <si>
    <t>Взносы на капитальный ремонт, в том числе</t>
  </si>
  <si>
    <t>2.2.16.</t>
  </si>
  <si>
    <t>обслуживание и настройка автоматики ИТП, насосных станций (ООО "Теплобаланс")</t>
  </si>
  <si>
    <t>мобильная связь (городской номер ТСЖ)</t>
  </si>
  <si>
    <t>обслуживание автоматики ОПС и пожаротушения (гараж) за 9 месяцев</t>
  </si>
  <si>
    <t>Протокол Правления № 15-2011/П</t>
  </si>
  <si>
    <t>от 15.02.2011 г.</t>
  </si>
  <si>
    <t>Ежемесячная плата за круглосуточную физическую охрану из расчета 80 руб./час. х 24 х 31</t>
  </si>
  <si>
    <t>пост охраны</t>
  </si>
  <si>
    <t>забор + освещение</t>
  </si>
  <si>
    <t>видеонаблюдение + контроль доступа</t>
  </si>
  <si>
    <t>резерв на непредвиденные расходы и скрытые работы 5 %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</si>
</sst>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  <numFmt numFmtId="173" formatCode="0.0000"/>
    <numFmt numFmtId="174" formatCode="0.000"/>
    <numFmt numFmtId="175" formatCode="#,##0.000"/>
    <numFmt numFmtId="176" formatCode="#,##0.0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166" fontId="0" fillId="0" borderId="0" xfId="58" applyNumberFormat="1" applyFont="1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1" fontId="2" fillId="0" borderId="13" xfId="0" applyNumberFormat="1" applyFont="1" applyFill="1" applyBorder="1" applyAlignment="1">
      <alignment horizontal="left"/>
    </xf>
    <xf numFmtId="3" fontId="2" fillId="0" borderId="13" xfId="0" applyNumberFormat="1" applyFont="1" applyBorder="1" applyAlignment="1">
      <alignment/>
    </xf>
    <xf numFmtId="0" fontId="0" fillId="0" borderId="0" xfId="0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166" fontId="0" fillId="0" borderId="0" xfId="58" applyNumberFormat="1" applyFont="1" applyBorder="1" applyAlignment="1">
      <alignment/>
    </xf>
    <xf numFmtId="165" fontId="1" fillId="0" borderId="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53" applyFont="1">
      <alignment/>
      <protection/>
    </xf>
    <xf numFmtId="165" fontId="0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58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wrapText="1"/>
    </xf>
    <xf numFmtId="164" fontId="0" fillId="0" borderId="0" xfId="58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58" applyFont="1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 horizontal="right" wrapText="1"/>
    </xf>
    <xf numFmtId="165" fontId="0" fillId="0" borderId="10" xfId="0" applyNumberFormat="1" applyFont="1" applyBorder="1" applyAlignment="1">
      <alignment horizontal="center" wrapText="1"/>
    </xf>
    <xf numFmtId="166" fontId="0" fillId="0" borderId="10" xfId="58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wrapText="1"/>
    </xf>
    <xf numFmtId="165" fontId="0" fillId="0" borderId="13" xfId="0" applyNumberFormat="1" applyFont="1" applyBorder="1" applyAlignment="1">
      <alignment horizontal="center" wrapText="1"/>
    </xf>
    <xf numFmtId="166" fontId="0" fillId="0" borderId="0" xfId="58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5"/>
  <sheetViews>
    <sheetView tabSelected="1" zoomScale="85" zoomScaleNormal="85" zoomScalePageLayoutView="0" workbookViewId="0" topLeftCell="A64">
      <selection activeCell="D93" sqref="D93"/>
    </sheetView>
  </sheetViews>
  <sheetFormatPr defaultColWidth="9.00390625" defaultRowHeight="12.75"/>
  <cols>
    <col min="1" max="1" width="2.875" style="0" customWidth="1"/>
    <col min="2" max="2" width="6.75390625" style="0" bestFit="1" customWidth="1"/>
    <col min="3" max="3" width="57.00390625" style="84" customWidth="1"/>
    <col min="4" max="4" width="10.625" style="0" customWidth="1"/>
    <col min="5" max="5" width="8.125" style="0" bestFit="1" customWidth="1"/>
    <col min="6" max="6" width="10.00390625" style="0" customWidth="1"/>
    <col min="7" max="7" width="7.75390625" style="0" bestFit="1" customWidth="1"/>
    <col min="8" max="8" width="9.625" style="0" bestFit="1" customWidth="1"/>
    <col min="9" max="9" width="9.375" style="0" bestFit="1" customWidth="1"/>
    <col min="10" max="10" width="9.625" style="0" bestFit="1" customWidth="1"/>
    <col min="11" max="11" width="7.625" style="0" customWidth="1"/>
    <col min="14" max="14" width="11.875" style="0" customWidth="1"/>
  </cols>
  <sheetData>
    <row r="1" ht="12.75">
      <c r="J1" s="8" t="s">
        <v>8</v>
      </c>
    </row>
    <row r="3" spans="3:10" ht="12.75">
      <c r="C3" s="85" t="s">
        <v>122</v>
      </c>
      <c r="J3" s="8" t="s">
        <v>218</v>
      </c>
    </row>
    <row r="4" spans="3:10" ht="12.75">
      <c r="C4" s="85" t="s">
        <v>18</v>
      </c>
      <c r="J4" s="8" t="s">
        <v>219</v>
      </c>
    </row>
    <row r="5" ht="12.75">
      <c r="C5" s="85" t="s">
        <v>123</v>
      </c>
    </row>
    <row r="7" ht="12.75">
      <c r="C7" s="85"/>
    </row>
    <row r="8" spans="2:11" ht="12.75">
      <c r="B8" s="5"/>
      <c r="C8" s="13" t="s">
        <v>19</v>
      </c>
      <c r="D8" s="15" t="s">
        <v>20</v>
      </c>
      <c r="E8" s="113" t="s">
        <v>21</v>
      </c>
      <c r="F8" s="113"/>
      <c r="G8" s="76"/>
      <c r="H8" s="76"/>
      <c r="I8" s="76"/>
      <c r="J8" s="76"/>
      <c r="K8" s="73"/>
    </row>
    <row r="9" spans="2:11" ht="12.75">
      <c r="B9" s="5">
        <v>1</v>
      </c>
      <c r="C9" s="13" t="s">
        <v>26</v>
      </c>
      <c r="D9" s="14">
        <v>15119</v>
      </c>
      <c r="E9" s="114">
        <f>D9/SUM($D$9:$D$11)</f>
        <v>0.8204006772009029</v>
      </c>
      <c r="F9" s="114"/>
      <c r="G9" s="48"/>
      <c r="H9" s="48"/>
      <c r="I9" s="48"/>
      <c r="J9" s="48"/>
      <c r="K9" s="72"/>
    </row>
    <row r="10" spans="2:13" ht="12.75">
      <c r="B10" s="5">
        <v>2</v>
      </c>
      <c r="C10" s="13" t="s">
        <v>27</v>
      </c>
      <c r="D10" s="14">
        <v>1855.6</v>
      </c>
      <c r="E10" s="114">
        <f>D10/SUM($D$9:$D$11)</f>
        <v>0.10069022399722174</v>
      </c>
      <c r="F10" s="114"/>
      <c r="G10" s="48"/>
      <c r="H10" s="48"/>
      <c r="I10" s="48"/>
      <c r="J10" s="48"/>
      <c r="K10" s="72"/>
      <c r="M10" s="65"/>
    </row>
    <row r="11" spans="2:11" ht="12.75">
      <c r="B11" s="5">
        <v>3</v>
      </c>
      <c r="C11" s="13" t="s">
        <v>28</v>
      </c>
      <c r="D11" s="14">
        <v>1454.2</v>
      </c>
      <c r="E11" s="114">
        <f>D11/SUM($D$9:$D$11)</f>
        <v>0.07890909880187533</v>
      </c>
      <c r="F11" s="114"/>
      <c r="G11" s="48"/>
      <c r="H11" s="48"/>
      <c r="I11" s="48"/>
      <c r="J11" s="48"/>
      <c r="K11" s="72"/>
    </row>
    <row r="12" spans="2:11" s="4" customFormat="1" ht="12.75">
      <c r="B12" s="47"/>
      <c r="C12" s="60" t="s">
        <v>44</v>
      </c>
      <c r="D12" s="33">
        <f>SUM(D9:D11)</f>
        <v>18428.8</v>
      </c>
      <c r="E12" s="119">
        <f>D12/SUM($D$9:$D$11)</f>
        <v>1</v>
      </c>
      <c r="F12" s="119"/>
      <c r="G12" s="48"/>
      <c r="H12" s="96"/>
      <c r="I12" s="96"/>
      <c r="J12" s="48"/>
      <c r="K12" s="72"/>
    </row>
    <row r="13" spans="2:11" ht="12.75">
      <c r="B13" s="5">
        <v>4</v>
      </c>
      <c r="C13" s="13" t="s">
        <v>22</v>
      </c>
      <c r="D13" s="45">
        <v>8</v>
      </c>
      <c r="E13" s="71"/>
      <c r="F13" s="48"/>
      <c r="G13" s="48"/>
      <c r="H13" s="48"/>
      <c r="I13" s="48"/>
      <c r="J13" s="48"/>
      <c r="K13" s="44"/>
    </row>
    <row r="14" spans="2:11" ht="12.75">
      <c r="B14" s="5">
        <v>5</v>
      </c>
      <c r="C14" s="13" t="s">
        <v>23</v>
      </c>
      <c r="D14" s="45">
        <v>7</v>
      </c>
      <c r="E14" s="71"/>
      <c r="F14" s="48"/>
      <c r="G14" s="48"/>
      <c r="H14" s="48"/>
      <c r="I14" s="48"/>
      <c r="J14" s="48"/>
      <c r="K14" s="44"/>
    </row>
    <row r="15" spans="2:11" ht="12.75">
      <c r="B15" s="5">
        <v>6</v>
      </c>
      <c r="C15" s="13" t="s">
        <v>24</v>
      </c>
      <c r="D15" s="45">
        <v>210</v>
      </c>
      <c r="E15" s="71"/>
      <c r="F15" s="48"/>
      <c r="G15" s="48"/>
      <c r="H15" s="48"/>
      <c r="I15" s="48"/>
      <c r="J15" s="48"/>
      <c r="K15" s="44"/>
    </row>
    <row r="16" spans="2:11" ht="12.75">
      <c r="B16" s="5">
        <v>7</v>
      </c>
      <c r="C16" s="13" t="s">
        <v>25</v>
      </c>
      <c r="D16" s="45">
        <v>15</v>
      </c>
      <c r="E16" s="71"/>
      <c r="F16" s="48"/>
      <c r="G16" s="48"/>
      <c r="H16" s="48"/>
      <c r="I16" s="48"/>
      <c r="J16" s="48"/>
      <c r="K16" s="44"/>
    </row>
    <row r="17" spans="2:11" ht="12.75">
      <c r="B17" s="5">
        <v>8</v>
      </c>
      <c r="C17" s="13" t="s">
        <v>29</v>
      </c>
      <c r="D17" s="45">
        <v>74</v>
      </c>
      <c r="E17" s="71"/>
      <c r="F17" s="48"/>
      <c r="G17" s="48"/>
      <c r="H17" s="48"/>
      <c r="I17" s="48"/>
      <c r="J17" s="48"/>
      <c r="K17" s="44"/>
    </row>
    <row r="18" spans="2:11" s="4" customFormat="1" ht="12.75">
      <c r="B18" s="47"/>
      <c r="C18" s="60"/>
      <c r="F18" s="33"/>
      <c r="G18" s="33"/>
      <c r="H18" s="33"/>
      <c r="I18" s="33"/>
      <c r="J18" s="33"/>
      <c r="K18" s="33"/>
    </row>
    <row r="19" spans="2:11" ht="12.75">
      <c r="B19" s="115" t="s">
        <v>0</v>
      </c>
      <c r="C19" s="115" t="s">
        <v>1</v>
      </c>
      <c r="D19" s="115" t="s">
        <v>37</v>
      </c>
      <c r="E19" s="115"/>
      <c r="F19" s="115"/>
      <c r="G19" s="115" t="s">
        <v>94</v>
      </c>
      <c r="H19" s="115"/>
      <c r="I19" s="115"/>
      <c r="J19" s="115"/>
      <c r="K19" s="116" t="s">
        <v>117</v>
      </c>
    </row>
    <row r="20" spans="2:11" ht="12.75">
      <c r="B20" s="115"/>
      <c r="C20" s="115"/>
      <c r="D20" s="5"/>
      <c r="E20" s="5"/>
      <c r="F20" s="5"/>
      <c r="G20" s="122" t="s">
        <v>95</v>
      </c>
      <c r="H20" s="123"/>
      <c r="I20" s="122" t="s">
        <v>119</v>
      </c>
      <c r="J20" s="123"/>
      <c r="K20" s="117"/>
    </row>
    <row r="21" spans="2:11" ht="25.5">
      <c r="B21" s="115"/>
      <c r="C21" s="115"/>
      <c r="D21" s="5" t="s">
        <v>54</v>
      </c>
      <c r="E21" s="5" t="s">
        <v>55</v>
      </c>
      <c r="F21" s="5" t="s">
        <v>96</v>
      </c>
      <c r="G21" s="5" t="s">
        <v>98</v>
      </c>
      <c r="H21" s="5" t="s">
        <v>96</v>
      </c>
      <c r="I21" s="5" t="s">
        <v>99</v>
      </c>
      <c r="J21" s="5" t="s">
        <v>96</v>
      </c>
      <c r="K21" s="118"/>
    </row>
    <row r="22" spans="2:11" ht="12.75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/>
      <c r="H22" s="5"/>
      <c r="I22" s="5"/>
      <c r="J22" s="5"/>
      <c r="K22" s="5">
        <v>6</v>
      </c>
    </row>
    <row r="23" spans="2:11" ht="12.75">
      <c r="B23" s="50">
        <v>1</v>
      </c>
      <c r="C23" s="6" t="s">
        <v>5</v>
      </c>
      <c r="D23" s="5"/>
      <c r="E23" s="5"/>
      <c r="F23" s="5"/>
      <c r="G23" s="5"/>
      <c r="H23" s="5"/>
      <c r="I23" s="5"/>
      <c r="J23" s="5"/>
      <c r="K23" s="5"/>
    </row>
    <row r="24" spans="2:11" ht="12.75">
      <c r="B24" s="9" t="s">
        <v>59</v>
      </c>
      <c r="C24" s="86" t="s">
        <v>209</v>
      </c>
      <c r="D24" s="11">
        <v>79933</v>
      </c>
      <c r="E24" s="11">
        <f>D24/12</f>
        <v>6661.083333333333</v>
      </c>
      <c r="F24" s="11"/>
      <c r="G24" s="62">
        <f>ROUND(D24*$E$11,0)</f>
        <v>6307</v>
      </c>
      <c r="H24" s="11"/>
      <c r="I24" s="62">
        <f>D24-G24</f>
        <v>73626</v>
      </c>
      <c r="J24" s="11"/>
      <c r="K24" s="11"/>
    </row>
    <row r="25" spans="2:11" ht="12.75">
      <c r="B25" s="9" t="s">
        <v>60</v>
      </c>
      <c r="C25" s="86" t="s">
        <v>2</v>
      </c>
      <c r="D25" s="11">
        <f>SUM(D26:D28)</f>
        <v>3604468.2</v>
      </c>
      <c r="E25" s="11">
        <f>D25/12</f>
        <v>300372.35000000003</v>
      </c>
      <c r="F25" s="35"/>
      <c r="G25" s="35"/>
      <c r="H25" s="35"/>
      <c r="I25" s="35"/>
      <c r="J25" s="35"/>
      <c r="K25" s="35"/>
    </row>
    <row r="26" spans="2:11" ht="12.75">
      <c r="B26" s="12"/>
      <c r="C26" s="87" t="s">
        <v>56</v>
      </c>
      <c r="D26" s="3">
        <f>D9*F26*12</f>
        <v>2957677.5995781934</v>
      </c>
      <c r="E26" s="3">
        <f aca="true" t="shared" si="0" ref="E26:E35">D26/12</f>
        <v>246473.13329818277</v>
      </c>
      <c r="F26" s="36">
        <f>SUM(J68,F69)</f>
        <v>16.30221134322262</v>
      </c>
      <c r="G26" s="36"/>
      <c r="H26" s="36"/>
      <c r="I26" s="36"/>
      <c r="J26" s="36"/>
      <c r="K26" s="36"/>
    </row>
    <row r="27" spans="2:11" ht="12.75">
      <c r="B27" s="12"/>
      <c r="C27" s="87" t="s">
        <v>31</v>
      </c>
      <c r="D27" s="3">
        <f>D10*F27*12</f>
        <v>363004.60042180674</v>
      </c>
      <c r="E27" s="3">
        <f t="shared" si="0"/>
        <v>30250.383368483894</v>
      </c>
      <c r="F27" s="36">
        <f>SUM(J68,F69)</f>
        <v>16.30221134322262</v>
      </c>
      <c r="G27" s="36"/>
      <c r="H27" s="36"/>
      <c r="I27" s="36"/>
      <c r="J27" s="36"/>
      <c r="K27" s="36"/>
    </row>
    <row r="28" spans="2:13" ht="12.75">
      <c r="B28" s="12"/>
      <c r="C28" s="87" t="s">
        <v>30</v>
      </c>
      <c r="D28" s="3">
        <f>D11*F28*12</f>
        <v>283786</v>
      </c>
      <c r="E28" s="3">
        <f t="shared" si="0"/>
        <v>23648.833333333332</v>
      </c>
      <c r="F28" s="36">
        <f>H68</f>
        <v>16.262435245037363</v>
      </c>
      <c r="G28" s="36"/>
      <c r="H28" s="36"/>
      <c r="I28" s="36"/>
      <c r="J28" s="36"/>
      <c r="K28" s="36"/>
      <c r="L28" s="34"/>
      <c r="M28" s="34"/>
    </row>
    <row r="29" spans="2:13" ht="12.75">
      <c r="B29" s="9" t="s">
        <v>61</v>
      </c>
      <c r="C29" s="86" t="s">
        <v>3</v>
      </c>
      <c r="D29" s="11">
        <v>200000</v>
      </c>
      <c r="E29" s="11">
        <f t="shared" si="0"/>
        <v>16666.666666666668</v>
      </c>
      <c r="F29" s="11"/>
      <c r="G29" s="62">
        <f>ROUND(D29*$E$11,0)</f>
        <v>15782</v>
      </c>
      <c r="H29" s="11"/>
      <c r="I29" s="62">
        <f>D29-G29</f>
        <v>184218</v>
      </c>
      <c r="J29" s="11"/>
      <c r="K29" s="11"/>
      <c r="L29" s="34"/>
      <c r="M29" s="34"/>
    </row>
    <row r="30" spans="2:13" ht="12.75">
      <c r="B30" s="9" t="s">
        <v>62</v>
      </c>
      <c r="C30" s="86" t="s">
        <v>213</v>
      </c>
      <c r="D30" s="11">
        <f>($D$9+$D$10+$D$11)*F30*12</f>
        <v>552864</v>
      </c>
      <c r="E30" s="11">
        <f t="shared" si="0"/>
        <v>46072</v>
      </c>
      <c r="F30" s="36">
        <v>2.5</v>
      </c>
      <c r="G30" s="35">
        <f>F30*D11*12</f>
        <v>43626</v>
      </c>
      <c r="H30" s="74">
        <f>G30/$D$11/12</f>
        <v>2.5</v>
      </c>
      <c r="I30" s="35">
        <f>F30*(D12-D11)*12</f>
        <v>509238</v>
      </c>
      <c r="J30" s="74">
        <f>I30/($D$12-$D$11)/12</f>
        <v>2.5000000000000004</v>
      </c>
      <c r="K30" s="36"/>
      <c r="L30" s="34"/>
      <c r="M30" s="34"/>
    </row>
    <row r="31" spans="2:13" ht="12.75">
      <c r="B31" s="9"/>
      <c r="C31" s="93" t="s">
        <v>210</v>
      </c>
      <c r="D31" s="62">
        <f>$D$9*F30*12</f>
        <v>453570</v>
      </c>
      <c r="E31" s="62">
        <f t="shared" si="0"/>
        <v>37797.5</v>
      </c>
      <c r="F31" s="36"/>
      <c r="G31" s="35"/>
      <c r="H31" s="74"/>
      <c r="I31" s="35"/>
      <c r="J31" s="74"/>
      <c r="K31" s="36"/>
      <c r="L31" s="34"/>
      <c r="M31" s="34"/>
    </row>
    <row r="32" spans="2:13" ht="12.75">
      <c r="B32" s="9"/>
      <c r="C32" s="93" t="s">
        <v>211</v>
      </c>
      <c r="D32" s="62">
        <f>$D$10*F30*12</f>
        <v>55668</v>
      </c>
      <c r="E32" s="62">
        <f t="shared" si="0"/>
        <v>4639</v>
      </c>
      <c r="F32" s="36"/>
      <c r="G32" s="35"/>
      <c r="H32" s="74"/>
      <c r="I32" s="35"/>
      <c r="J32" s="74"/>
      <c r="K32" s="36"/>
      <c r="L32" s="34"/>
      <c r="M32" s="34"/>
    </row>
    <row r="33" spans="2:13" ht="12.75">
      <c r="B33" s="9"/>
      <c r="C33" s="93" t="s">
        <v>212</v>
      </c>
      <c r="D33" s="62">
        <f>$D$11*F30*12</f>
        <v>43626</v>
      </c>
      <c r="E33" s="62">
        <f t="shared" si="0"/>
        <v>3635.5</v>
      </c>
      <c r="F33" s="36"/>
      <c r="G33" s="35"/>
      <c r="H33" s="74"/>
      <c r="I33" s="35"/>
      <c r="J33" s="74"/>
      <c r="K33" s="36"/>
      <c r="L33" s="34"/>
      <c r="M33" s="34"/>
    </row>
    <row r="34" spans="2:13" ht="12.75">
      <c r="B34" s="9" t="s">
        <v>63</v>
      </c>
      <c r="C34" s="86" t="s">
        <v>36</v>
      </c>
      <c r="D34" s="11">
        <v>0</v>
      </c>
      <c r="E34" s="11">
        <f t="shared" si="0"/>
        <v>0</v>
      </c>
      <c r="F34" s="36"/>
      <c r="G34" s="36"/>
      <c r="H34" s="36"/>
      <c r="I34" s="36"/>
      <c r="J34" s="36"/>
      <c r="K34" s="37"/>
      <c r="L34" s="34"/>
      <c r="M34" s="34"/>
    </row>
    <row r="35" spans="2:13" ht="12.75">
      <c r="B35" s="9" t="s">
        <v>64</v>
      </c>
      <c r="C35" s="57" t="s">
        <v>4</v>
      </c>
      <c r="D35" s="11">
        <f>SUM(D24:D25)+SUM(D29:D34)-D30</f>
        <v>4437265.2</v>
      </c>
      <c r="E35" s="11">
        <f t="shared" si="0"/>
        <v>369772.10000000003</v>
      </c>
      <c r="F35" s="7"/>
      <c r="G35" s="7"/>
      <c r="H35" s="7"/>
      <c r="I35" s="7"/>
      <c r="J35" s="7"/>
      <c r="K35" s="7"/>
      <c r="L35" s="34"/>
      <c r="M35" s="34"/>
    </row>
    <row r="36" spans="4:13" ht="12.75">
      <c r="D36" s="1"/>
      <c r="E36" s="1"/>
      <c r="F36" s="38"/>
      <c r="G36" s="38"/>
      <c r="H36" s="38"/>
      <c r="I36" s="38"/>
      <c r="J36" s="38"/>
      <c r="K36" s="38"/>
      <c r="L36" s="34"/>
      <c r="M36" s="34"/>
    </row>
    <row r="37" spans="2:13" ht="12.75">
      <c r="B37" s="32">
        <v>2</v>
      </c>
      <c r="C37" s="6" t="s">
        <v>6</v>
      </c>
      <c r="D37" s="3"/>
      <c r="E37" s="3"/>
      <c r="F37" s="36"/>
      <c r="G37" s="36"/>
      <c r="H37" s="36"/>
      <c r="I37" s="36"/>
      <c r="J37" s="36"/>
      <c r="K37" s="35"/>
      <c r="L37" s="34"/>
      <c r="M37" s="34"/>
    </row>
    <row r="38" spans="2:13" ht="25.5">
      <c r="B38" s="32" t="s">
        <v>40</v>
      </c>
      <c r="C38" s="10" t="s">
        <v>7</v>
      </c>
      <c r="D38" s="11">
        <f>SUM(D39:D49)</f>
        <v>548663.5800000001</v>
      </c>
      <c r="E38" s="11">
        <f aca="true" t="shared" si="1" ref="E38:E43">D38/12</f>
        <v>45721.965000000004</v>
      </c>
      <c r="F38" s="61">
        <f aca="true" t="shared" si="2" ref="F38:F66">D38/$D$12/12</f>
        <v>2.4810060882965796</v>
      </c>
      <c r="G38" s="11">
        <f>SUM(G39:G49)</f>
        <v>43295</v>
      </c>
      <c r="H38" s="61">
        <f>G38/$D$11/12</f>
        <v>2.481031953422271</v>
      </c>
      <c r="I38" s="11">
        <f>SUM(I39:I49)</f>
        <v>505368.58</v>
      </c>
      <c r="J38" s="61">
        <f>I38/($D$12-$D$11)/12</f>
        <v>2.481003872452567</v>
      </c>
      <c r="K38" s="11"/>
      <c r="L38" s="34"/>
      <c r="M38" s="34"/>
    </row>
    <row r="39" spans="2:14" ht="25.5">
      <c r="B39" s="63" t="s">
        <v>161</v>
      </c>
      <c r="C39" s="93" t="s">
        <v>85</v>
      </c>
      <c r="D39" s="62">
        <f>12000+1200</f>
        <v>13200</v>
      </c>
      <c r="E39" s="62">
        <f t="shared" si="1"/>
        <v>1100</v>
      </c>
      <c r="F39" s="74">
        <f t="shared" si="2"/>
        <v>0.05968918214967877</v>
      </c>
      <c r="G39" s="62">
        <f aca="true" t="shared" si="3" ref="G39:G45">ROUND(D39*$E$11,0)</f>
        <v>1042</v>
      </c>
      <c r="H39" s="74">
        <f>G39/$D$11/12</f>
        <v>0.05971209829001054</v>
      </c>
      <c r="I39" s="62">
        <f aca="true" t="shared" si="4" ref="I39:I45">D39-G39</f>
        <v>12158</v>
      </c>
      <c r="J39" s="74">
        <f>I39/($D$12-$D$11)/12</f>
        <v>0.0596872189428126</v>
      </c>
      <c r="K39" s="11"/>
      <c r="L39" s="34"/>
      <c r="M39" s="34"/>
      <c r="N39" s="70"/>
    </row>
    <row r="40" spans="2:14" ht="12.75">
      <c r="B40" s="63" t="s">
        <v>162</v>
      </c>
      <c r="C40" s="93" t="s">
        <v>45</v>
      </c>
      <c r="D40" s="62">
        <f>D29*0.15</f>
        <v>30000</v>
      </c>
      <c r="E40" s="62">
        <f t="shared" si="1"/>
        <v>2500</v>
      </c>
      <c r="F40" s="74">
        <f t="shared" si="2"/>
        <v>0.13565723215836084</v>
      </c>
      <c r="G40" s="62">
        <f t="shared" si="3"/>
        <v>2367</v>
      </c>
      <c r="H40" s="74">
        <f aca="true" t="shared" si="5" ref="H40:H68">G40/$D$11/12</f>
        <v>0.13564158987759592</v>
      </c>
      <c r="I40" s="62">
        <f t="shared" si="4"/>
        <v>27633</v>
      </c>
      <c r="J40" s="74">
        <f aca="true" t="shared" si="6" ref="J40:J68">I40/($D$12-$D$11)/12</f>
        <v>0.1356585722196694</v>
      </c>
      <c r="K40" s="68"/>
      <c r="L40" s="34"/>
      <c r="M40" s="34"/>
      <c r="N40" s="69"/>
    </row>
    <row r="41" spans="2:14" ht="12.75">
      <c r="B41" s="51" t="s">
        <v>163</v>
      </c>
      <c r="C41" s="93" t="s">
        <v>100</v>
      </c>
      <c r="D41" s="62">
        <v>4000</v>
      </c>
      <c r="E41" s="62">
        <f t="shared" si="1"/>
        <v>333.3333333333333</v>
      </c>
      <c r="F41" s="74">
        <f t="shared" si="2"/>
        <v>0.01808763095444811</v>
      </c>
      <c r="G41" s="62">
        <f t="shared" si="3"/>
        <v>316</v>
      </c>
      <c r="H41" s="74">
        <f t="shared" si="5"/>
        <v>0.01810846742768074</v>
      </c>
      <c r="I41" s="62">
        <f t="shared" si="4"/>
        <v>3684</v>
      </c>
      <c r="J41" s="74">
        <f t="shared" si="6"/>
        <v>0.018085845910949302</v>
      </c>
      <c r="K41" s="68"/>
      <c r="L41" s="34"/>
      <c r="M41" s="34"/>
      <c r="N41" s="69"/>
    </row>
    <row r="42" spans="2:14" ht="25.5">
      <c r="B42" s="51" t="s">
        <v>164</v>
      </c>
      <c r="C42" s="93" t="s">
        <v>144</v>
      </c>
      <c r="D42" s="62">
        <v>15000</v>
      </c>
      <c r="E42" s="62">
        <f t="shared" si="1"/>
        <v>1250</v>
      </c>
      <c r="F42" s="74">
        <f t="shared" si="2"/>
        <v>0.06782861607918042</v>
      </c>
      <c r="G42" s="62">
        <f t="shared" si="3"/>
        <v>1184</v>
      </c>
      <c r="H42" s="74">
        <f t="shared" si="5"/>
        <v>0.0678494475771329</v>
      </c>
      <c r="I42" s="62">
        <f t="shared" si="4"/>
        <v>13816</v>
      </c>
      <c r="J42" s="74">
        <f t="shared" si="6"/>
        <v>0.06782683146190976</v>
      </c>
      <c r="K42" s="68"/>
      <c r="L42" s="34"/>
      <c r="M42" s="34"/>
      <c r="N42" s="69"/>
    </row>
    <row r="43" spans="2:14" ht="12.75">
      <c r="B43" s="51" t="s">
        <v>165</v>
      </c>
      <c r="C43" s="93" t="s">
        <v>101</v>
      </c>
      <c r="D43" s="62">
        <v>16000</v>
      </c>
      <c r="E43" s="62">
        <f t="shared" si="1"/>
        <v>1333.3333333333333</v>
      </c>
      <c r="F43" s="74">
        <f t="shared" si="2"/>
        <v>0.07235052381779244</v>
      </c>
      <c r="G43" s="62">
        <f t="shared" si="3"/>
        <v>1263</v>
      </c>
      <c r="H43" s="74">
        <f t="shared" si="5"/>
        <v>0.07237656443405309</v>
      </c>
      <c r="I43" s="62">
        <f t="shared" si="4"/>
        <v>14737</v>
      </c>
      <c r="J43" s="74">
        <f t="shared" si="6"/>
        <v>0.07234829293964709</v>
      </c>
      <c r="K43" s="68"/>
      <c r="L43" s="34"/>
      <c r="M43" s="34"/>
      <c r="N43" s="69"/>
    </row>
    <row r="44" spans="2:14" ht="12.75">
      <c r="B44" s="51" t="s">
        <v>166</v>
      </c>
      <c r="C44" s="93" t="s">
        <v>120</v>
      </c>
      <c r="D44" s="62">
        <v>15000</v>
      </c>
      <c r="E44" s="62"/>
      <c r="F44" s="74">
        <f t="shared" si="2"/>
        <v>0.06782861607918042</v>
      </c>
      <c r="G44" s="62">
        <f t="shared" si="3"/>
        <v>1184</v>
      </c>
      <c r="H44" s="74">
        <f t="shared" si="5"/>
        <v>0.0678494475771329</v>
      </c>
      <c r="I44" s="62">
        <f t="shared" si="4"/>
        <v>13816</v>
      </c>
      <c r="J44" s="74">
        <f t="shared" si="6"/>
        <v>0.06782683146190976</v>
      </c>
      <c r="K44" s="68"/>
      <c r="L44" s="34"/>
      <c r="M44" s="34"/>
      <c r="N44" s="69"/>
    </row>
    <row r="45" spans="2:14" ht="12.75">
      <c r="B45" s="51" t="s">
        <v>167</v>
      </c>
      <c r="C45" s="94" t="s">
        <v>139</v>
      </c>
      <c r="D45" s="62">
        <f>'штатное '!K21</f>
        <v>395663.58</v>
      </c>
      <c r="E45" s="62">
        <f>D45/12</f>
        <v>32971.965000000004</v>
      </c>
      <c r="F45" s="74">
        <f t="shared" si="2"/>
        <v>1.7891542042889392</v>
      </c>
      <c r="G45" s="62">
        <f t="shared" si="3"/>
        <v>31221</v>
      </c>
      <c r="H45" s="74">
        <f t="shared" si="5"/>
        <v>1.789128042910191</v>
      </c>
      <c r="I45" s="62">
        <f t="shared" si="4"/>
        <v>364442.58</v>
      </c>
      <c r="J45" s="74">
        <f t="shared" si="6"/>
        <v>1.7891564455127076</v>
      </c>
      <c r="K45" s="35"/>
      <c r="L45" s="34"/>
      <c r="M45" s="34"/>
      <c r="N45" s="67"/>
    </row>
    <row r="46" spans="2:14" ht="12.75">
      <c r="B46" s="51" t="s">
        <v>168</v>
      </c>
      <c r="C46" s="94" t="s">
        <v>152</v>
      </c>
      <c r="D46" s="62">
        <v>7000</v>
      </c>
      <c r="E46" s="62"/>
      <c r="F46" s="74">
        <f t="shared" si="2"/>
        <v>0.03165335417028419</v>
      </c>
      <c r="G46" s="62">
        <f>ROUND(D46*$E$11,0)</f>
        <v>552</v>
      </c>
      <c r="H46" s="74">
        <f>G46/$D$11/12</f>
        <v>0.03163251272177142</v>
      </c>
      <c r="I46" s="62">
        <f>D46-G46</f>
        <v>6448</v>
      </c>
      <c r="J46" s="74">
        <f>I46/($D$12-$D$11)/12</f>
        <v>0.03165513964001116</v>
      </c>
      <c r="K46" s="35"/>
      <c r="L46" s="34"/>
      <c r="M46" s="34"/>
      <c r="N46" s="67"/>
    </row>
    <row r="47" spans="2:14" ht="12.75">
      <c r="B47" s="51" t="s">
        <v>169</v>
      </c>
      <c r="C47" s="94" t="s">
        <v>155</v>
      </c>
      <c r="D47" s="107">
        <v>14400</v>
      </c>
      <c r="E47" s="62">
        <f aca="true" t="shared" si="7" ref="E47:E52">D47/12</f>
        <v>1200</v>
      </c>
      <c r="F47" s="74">
        <f t="shared" si="2"/>
        <v>0.06511547143601319</v>
      </c>
      <c r="G47" s="62">
        <f>ROUND(D47*$E$11,0)</f>
        <v>1136</v>
      </c>
      <c r="H47" s="74">
        <f>G47/$D$11/12</f>
        <v>0.06509879429697886</v>
      </c>
      <c r="I47" s="62">
        <f>D47-G47</f>
        <v>13264</v>
      </c>
      <c r="J47" s="74">
        <f>I47/($D$12-$D$11)/12</f>
        <v>0.0651169001527773</v>
      </c>
      <c r="K47" s="35"/>
      <c r="L47" s="34"/>
      <c r="M47" s="34"/>
      <c r="N47" s="67"/>
    </row>
    <row r="48" spans="2:14" ht="12.75">
      <c r="B48" s="51" t="s">
        <v>170</v>
      </c>
      <c r="C48" s="94" t="s">
        <v>216</v>
      </c>
      <c r="D48" s="108">
        <v>8400</v>
      </c>
      <c r="E48" s="62">
        <f t="shared" si="7"/>
        <v>700</v>
      </c>
      <c r="F48" s="74">
        <f>D48/$D$12/12</f>
        <v>0.03798402500434103</v>
      </c>
      <c r="G48" s="62">
        <f>ROUND(D48*$E$11,0)</f>
        <v>663</v>
      </c>
      <c r="H48" s="74">
        <f>G48/$D$11/12</f>
        <v>0.03799339843212763</v>
      </c>
      <c r="I48" s="62">
        <f>D48-G48</f>
        <v>7737</v>
      </c>
      <c r="J48" s="74">
        <f>I48/($D$12-$D$11)/12</f>
        <v>0.03798322199050346</v>
      </c>
      <c r="K48" s="35"/>
      <c r="L48" s="34"/>
      <c r="M48" s="34"/>
      <c r="N48" s="67"/>
    </row>
    <row r="49" spans="2:14" ht="12.75">
      <c r="B49" s="51" t="s">
        <v>170</v>
      </c>
      <c r="C49" s="94" t="s">
        <v>205</v>
      </c>
      <c r="D49" s="62">
        <v>30000</v>
      </c>
      <c r="E49" s="62">
        <f t="shared" si="7"/>
        <v>2500</v>
      </c>
      <c r="F49" s="74">
        <f>D49/$D$12/12</f>
        <v>0.13565723215836084</v>
      </c>
      <c r="G49" s="62">
        <f>ROUND(D49*$E$11,0)</f>
        <v>2367</v>
      </c>
      <c r="H49" s="74">
        <f>G49/$D$11/12</f>
        <v>0.13564158987759592</v>
      </c>
      <c r="I49" s="62">
        <f>D49-G49</f>
        <v>27633</v>
      </c>
      <c r="J49" s="74">
        <f>I49/($D$12-$D$11)/12</f>
        <v>0.1356585722196694</v>
      </c>
      <c r="K49" s="35"/>
      <c r="L49" s="34"/>
      <c r="M49" s="34"/>
      <c r="N49" s="67"/>
    </row>
    <row r="50" spans="2:13" ht="25.5">
      <c r="B50" s="32" t="s">
        <v>41</v>
      </c>
      <c r="C50" s="10" t="s">
        <v>89</v>
      </c>
      <c r="D50" s="11">
        <f>SUM(D51:D66)</f>
        <v>1471926</v>
      </c>
      <c r="E50" s="11">
        <f t="shared" si="7"/>
        <v>122660.5</v>
      </c>
      <c r="F50" s="61">
        <f t="shared" si="2"/>
        <v>6.655913570064247</v>
      </c>
      <c r="G50" s="11">
        <f>SUM(G51:G66)</f>
        <v>262580</v>
      </c>
      <c r="H50" s="61">
        <f t="shared" si="5"/>
        <v>15.047219547975978</v>
      </c>
      <c r="I50" s="11">
        <f>SUM(I51:I66)</f>
        <v>1209346</v>
      </c>
      <c r="J50" s="61">
        <f t="shared" si="6"/>
        <v>5.937037298866149</v>
      </c>
      <c r="K50" s="11"/>
      <c r="L50" s="34"/>
      <c r="M50" s="34"/>
    </row>
    <row r="51" spans="2:14" ht="25.5">
      <c r="B51" s="52" t="s">
        <v>65</v>
      </c>
      <c r="C51" s="94" t="s">
        <v>140</v>
      </c>
      <c r="D51" s="62">
        <f>'штатное '!K29</f>
        <v>926978</v>
      </c>
      <c r="E51" s="62">
        <f t="shared" si="7"/>
        <v>77248.16666666667</v>
      </c>
      <c r="F51" s="74">
        <f t="shared" si="2"/>
        <v>4.1917089917231</v>
      </c>
      <c r="G51" s="62">
        <f aca="true" t="shared" si="8" ref="G51:G57">ROUND(D51*$E$11,0)</f>
        <v>73147</v>
      </c>
      <c r="H51" s="74">
        <f>G51/$D$11/12</f>
        <v>4.191709072571402</v>
      </c>
      <c r="I51" s="62">
        <f aca="true" t="shared" si="9" ref="I51:I57">D51-G51</f>
        <v>853831</v>
      </c>
      <c r="J51" s="74">
        <f>I51/($D$12-$D$11)/12</f>
        <v>4.191708984796893</v>
      </c>
      <c r="K51" s="35"/>
      <c r="L51" s="34"/>
      <c r="M51" s="34"/>
      <c r="N51" s="66"/>
    </row>
    <row r="52" spans="2:13" ht="25.5">
      <c r="B52" s="51" t="s">
        <v>66</v>
      </c>
      <c r="C52" s="94" t="s">
        <v>204</v>
      </c>
      <c r="D52" s="62">
        <f>5002*12</f>
        <v>60024</v>
      </c>
      <c r="E52" s="62">
        <f t="shared" si="7"/>
        <v>5002</v>
      </c>
      <c r="F52" s="74">
        <f t="shared" si="2"/>
        <v>0.27142299010244836</v>
      </c>
      <c r="G52" s="62">
        <f t="shared" si="8"/>
        <v>4736</v>
      </c>
      <c r="H52" s="74">
        <f t="shared" si="5"/>
        <v>0.2713977903085316</v>
      </c>
      <c r="I52" s="62">
        <f t="shared" si="9"/>
        <v>55288</v>
      </c>
      <c r="J52" s="74">
        <f t="shared" si="6"/>
        <v>0.2714251489480361</v>
      </c>
      <c r="K52" s="36"/>
      <c r="L52" s="41"/>
      <c r="M52" s="34"/>
    </row>
    <row r="53" spans="2:13" ht="12.75">
      <c r="B53" s="51" t="s">
        <v>67</v>
      </c>
      <c r="C53" s="94" t="s">
        <v>103</v>
      </c>
      <c r="D53" s="62">
        <v>6000</v>
      </c>
      <c r="E53" s="62">
        <f aca="true" t="shared" si="10" ref="E53:E60">D53/12</f>
        <v>500</v>
      </c>
      <c r="F53" s="74">
        <f t="shared" si="2"/>
        <v>0.027131446431672163</v>
      </c>
      <c r="G53" s="62">
        <f t="shared" si="8"/>
        <v>473</v>
      </c>
      <c r="H53" s="74">
        <f t="shared" si="5"/>
        <v>0.027105395864851237</v>
      </c>
      <c r="I53" s="62">
        <f t="shared" si="9"/>
        <v>5527</v>
      </c>
      <c r="J53" s="74">
        <f t="shared" si="6"/>
        <v>0.02713367816227383</v>
      </c>
      <c r="K53" s="36"/>
      <c r="L53" s="42"/>
      <c r="M53" s="34"/>
    </row>
    <row r="54" spans="2:13" ht="12.75">
      <c r="B54" s="52" t="s">
        <v>68</v>
      </c>
      <c r="C54" s="94" t="s">
        <v>102</v>
      </c>
      <c r="D54" s="62">
        <v>12000</v>
      </c>
      <c r="E54" s="62">
        <f t="shared" si="10"/>
        <v>1000</v>
      </c>
      <c r="F54" s="74">
        <f t="shared" si="2"/>
        <v>0.05426289286334433</v>
      </c>
      <c r="G54" s="62">
        <f t="shared" si="8"/>
        <v>947</v>
      </c>
      <c r="H54" s="74">
        <f t="shared" si="5"/>
        <v>0.05426809700637234</v>
      </c>
      <c r="I54" s="62">
        <f t="shared" si="9"/>
        <v>11053</v>
      </c>
      <c r="J54" s="74">
        <f t="shared" si="6"/>
        <v>0.054262447028697786</v>
      </c>
      <c r="K54" s="36"/>
      <c r="L54" s="42"/>
      <c r="M54" s="34"/>
    </row>
    <row r="55" spans="2:13" ht="12.75">
      <c r="B55" s="52" t="s">
        <v>110</v>
      </c>
      <c r="C55" s="94" t="s">
        <v>108</v>
      </c>
      <c r="D55" s="62">
        <v>12000</v>
      </c>
      <c r="E55" s="62">
        <f t="shared" si="10"/>
        <v>1000</v>
      </c>
      <c r="F55" s="74">
        <f t="shared" si="2"/>
        <v>0.05426289286334433</v>
      </c>
      <c r="G55" s="62">
        <f t="shared" si="8"/>
        <v>947</v>
      </c>
      <c r="H55" s="74">
        <f t="shared" si="5"/>
        <v>0.05426809700637234</v>
      </c>
      <c r="I55" s="62">
        <f t="shared" si="9"/>
        <v>11053</v>
      </c>
      <c r="J55" s="74">
        <f t="shared" si="6"/>
        <v>0.054262447028697786</v>
      </c>
      <c r="K55" s="36"/>
      <c r="L55" s="42"/>
      <c r="M55" s="34"/>
    </row>
    <row r="56" spans="2:13" ht="12.75">
      <c r="B56" s="52" t="s">
        <v>111</v>
      </c>
      <c r="C56" s="94" t="s">
        <v>150</v>
      </c>
      <c r="D56" s="62">
        <v>25000</v>
      </c>
      <c r="E56" s="62"/>
      <c r="F56" s="74">
        <f t="shared" si="2"/>
        <v>0.11304769346530069</v>
      </c>
      <c r="G56" s="62">
        <f t="shared" si="8"/>
        <v>1973</v>
      </c>
      <c r="H56" s="74">
        <f t="shared" si="5"/>
        <v>0.11306331086966487</v>
      </c>
      <c r="I56" s="62">
        <f t="shared" si="9"/>
        <v>23027</v>
      </c>
      <c r="J56" s="74">
        <f t="shared" si="6"/>
        <v>0.11304635553513288</v>
      </c>
      <c r="K56" s="11"/>
      <c r="L56" s="43"/>
      <c r="M56" s="34"/>
    </row>
    <row r="57" spans="2:13" ht="25.5">
      <c r="B57" s="52" t="s">
        <v>112</v>
      </c>
      <c r="C57" s="94" t="s">
        <v>159</v>
      </c>
      <c r="D57" s="62">
        <f>'штатное '!K35+2628*12</f>
        <v>141672</v>
      </c>
      <c r="E57" s="62">
        <f t="shared" si="10"/>
        <v>11806</v>
      </c>
      <c r="F57" s="74">
        <f t="shared" si="2"/>
        <v>0.6406277131446432</v>
      </c>
      <c r="G57" s="62">
        <f t="shared" si="8"/>
        <v>11179</v>
      </c>
      <c r="H57" s="74">
        <f t="shared" si="5"/>
        <v>0.6406156878925412</v>
      </c>
      <c r="I57" s="62">
        <f t="shared" si="9"/>
        <v>130493</v>
      </c>
      <c r="J57" s="74">
        <f t="shared" si="6"/>
        <v>0.6406287433380856</v>
      </c>
      <c r="K57" s="11"/>
      <c r="L57" s="43"/>
      <c r="M57" s="34"/>
    </row>
    <row r="58" spans="2:13" ht="12.75">
      <c r="B58" s="52" t="s">
        <v>151</v>
      </c>
      <c r="C58" s="94" t="s">
        <v>104</v>
      </c>
      <c r="D58" s="62">
        <v>20000</v>
      </c>
      <c r="E58" s="62"/>
      <c r="F58" s="74">
        <f t="shared" si="2"/>
        <v>0.09043815477224056</v>
      </c>
      <c r="G58" s="62">
        <f>D58</f>
        <v>20000</v>
      </c>
      <c r="H58" s="74">
        <f t="shared" si="5"/>
        <v>1.1461055333975152</v>
      </c>
      <c r="I58" s="62"/>
      <c r="J58" s="74"/>
      <c r="K58" s="11"/>
      <c r="L58" s="43"/>
      <c r="M58" s="34"/>
    </row>
    <row r="59" spans="2:13" ht="12.75">
      <c r="B59" s="52" t="s">
        <v>153</v>
      </c>
      <c r="C59" s="94" t="s">
        <v>160</v>
      </c>
      <c r="D59" s="62">
        <f aca="true" t="shared" si="11" ref="D59:D64">G59+I59</f>
        <v>28176</v>
      </c>
      <c r="E59" s="62">
        <f t="shared" si="10"/>
        <v>2348</v>
      </c>
      <c r="F59" s="74">
        <f t="shared" si="2"/>
        <v>0.1274092724431325</v>
      </c>
      <c r="G59" s="62"/>
      <c r="H59" s="74"/>
      <c r="I59" s="62">
        <f>2348*12</f>
        <v>28176</v>
      </c>
      <c r="J59" s="74">
        <f t="shared" si="6"/>
        <v>0.13832431986615298</v>
      </c>
      <c r="K59" s="11"/>
      <c r="L59" s="43"/>
      <c r="M59" s="34"/>
    </row>
    <row r="60" spans="2:13" ht="12.75">
      <c r="B60" s="52" t="s">
        <v>154</v>
      </c>
      <c r="C60" s="94" t="s">
        <v>146</v>
      </c>
      <c r="D60" s="62">
        <f t="shared" si="11"/>
        <v>24156</v>
      </c>
      <c r="E60" s="62">
        <f t="shared" si="10"/>
        <v>2013</v>
      </c>
      <c r="F60" s="74">
        <f t="shared" si="2"/>
        <v>0.10923120333391213</v>
      </c>
      <c r="G60" s="62">
        <f>2013*12</f>
        <v>24156</v>
      </c>
      <c r="H60" s="74">
        <f>G60/$D$11/12</f>
        <v>1.384266263237519</v>
      </c>
      <c r="I60" s="62"/>
      <c r="J60" s="74"/>
      <c r="K60" s="11"/>
      <c r="L60" s="43"/>
      <c r="M60" s="34"/>
    </row>
    <row r="61" spans="2:13" ht="25.5">
      <c r="B61" s="52" t="s">
        <v>171</v>
      </c>
      <c r="C61" s="94" t="s">
        <v>217</v>
      </c>
      <c r="D61" s="62">
        <f t="shared" si="11"/>
        <v>25920</v>
      </c>
      <c r="E61" s="62">
        <f>D61/9</f>
        <v>2880</v>
      </c>
      <c r="F61" s="74">
        <f t="shared" si="2"/>
        <v>0.11720784858482376</v>
      </c>
      <c r="G61" s="62">
        <f>2880*9</f>
        <v>25920</v>
      </c>
      <c r="H61" s="74">
        <f>G61/$D$11/12</f>
        <v>1.4853527712831796</v>
      </c>
      <c r="I61" s="62"/>
      <c r="J61" s="74"/>
      <c r="K61" s="11"/>
      <c r="L61" s="43"/>
      <c r="M61" s="34"/>
    </row>
    <row r="62" spans="2:13" ht="12.75">
      <c r="B62" s="52" t="s">
        <v>172</v>
      </c>
      <c r="C62" s="94" t="s">
        <v>143</v>
      </c>
      <c r="D62" s="62">
        <f t="shared" si="11"/>
        <v>24000</v>
      </c>
      <c r="E62" s="62"/>
      <c r="F62" s="74">
        <f t="shared" si="2"/>
        <v>0.10852578572668865</v>
      </c>
      <c r="G62" s="62">
        <v>16000</v>
      </c>
      <c r="H62" s="74">
        <f>G62/$D$11/12</f>
        <v>0.9168844267180122</v>
      </c>
      <c r="I62" s="62">
        <v>8000</v>
      </c>
      <c r="J62" s="74">
        <f>I62/($D$12-$D$11)/12</f>
        <v>0.039274366799021285</v>
      </c>
      <c r="K62" s="11"/>
      <c r="L62" s="43"/>
      <c r="M62" s="34"/>
    </row>
    <row r="63" spans="2:13" ht="25.5">
      <c r="B63" s="52" t="s">
        <v>173</v>
      </c>
      <c r="C63" s="94" t="s">
        <v>147</v>
      </c>
      <c r="D63" s="62">
        <f t="shared" si="11"/>
        <v>60000</v>
      </c>
      <c r="E63" s="62"/>
      <c r="F63" s="74">
        <f t="shared" si="2"/>
        <v>0.2713144643167217</v>
      </c>
      <c r="G63" s="62">
        <v>60000</v>
      </c>
      <c r="H63" s="74">
        <f>G63/$D$11/12</f>
        <v>3.4383166001925454</v>
      </c>
      <c r="I63" s="62"/>
      <c r="J63" s="74"/>
      <c r="K63" s="11"/>
      <c r="L63" s="43"/>
      <c r="M63" s="34"/>
    </row>
    <row r="64" spans="2:13" ht="12.75">
      <c r="B64" s="52" t="s">
        <v>174</v>
      </c>
      <c r="C64" s="94" t="s">
        <v>194</v>
      </c>
      <c r="D64" s="62">
        <f t="shared" si="11"/>
        <v>16000</v>
      </c>
      <c r="E64" s="62"/>
      <c r="F64" s="74">
        <f t="shared" si="2"/>
        <v>0.07235052381779244</v>
      </c>
      <c r="G64" s="62">
        <v>16000</v>
      </c>
      <c r="H64" s="74">
        <f t="shared" si="5"/>
        <v>0.9168844267180122</v>
      </c>
      <c r="I64" s="62"/>
      <c r="J64" s="74"/>
      <c r="K64" s="11"/>
      <c r="L64" s="43"/>
      <c r="M64" s="34"/>
    </row>
    <row r="65" spans="2:13" ht="12.75">
      <c r="B65" s="52" t="s">
        <v>175</v>
      </c>
      <c r="C65" s="94" t="s">
        <v>106</v>
      </c>
      <c r="D65" s="62">
        <v>15000</v>
      </c>
      <c r="E65" s="62"/>
      <c r="F65" s="74">
        <f>D65/$D$12/12</f>
        <v>0.06782861607918042</v>
      </c>
      <c r="G65" s="62">
        <f>ROUND(D65*$E$11,0)</f>
        <v>1184</v>
      </c>
      <c r="H65" s="74">
        <f>G65/$D$11/12</f>
        <v>0.0678494475771329</v>
      </c>
      <c r="I65" s="62">
        <f>D65-G65</f>
        <v>13816</v>
      </c>
      <c r="J65" s="74">
        <f>I65/($D$12-$D$11)/12</f>
        <v>0.06782683146190976</v>
      </c>
      <c r="K65" s="35"/>
      <c r="L65" s="43"/>
      <c r="M65" s="34"/>
    </row>
    <row r="66" spans="2:13" ht="25.5">
      <c r="B66" s="52" t="s">
        <v>214</v>
      </c>
      <c r="C66" s="112" t="s">
        <v>215</v>
      </c>
      <c r="D66" s="62">
        <v>75000</v>
      </c>
      <c r="E66" s="62"/>
      <c r="F66" s="74">
        <f t="shared" si="2"/>
        <v>0.3391430803959021</v>
      </c>
      <c r="G66" s="62">
        <f>ROUND(D66*$E$11,0)</f>
        <v>5918</v>
      </c>
      <c r="H66" s="74">
        <f t="shared" si="5"/>
        <v>0.33913262733232474</v>
      </c>
      <c r="I66" s="62">
        <f>D66-G66</f>
        <v>69082</v>
      </c>
      <c r="J66" s="74">
        <f t="shared" si="6"/>
        <v>0.3391439759012485</v>
      </c>
      <c r="K66" s="35"/>
      <c r="L66" s="43"/>
      <c r="M66" s="34"/>
    </row>
    <row r="67" spans="2:13" ht="25.5">
      <c r="B67" s="32" t="s">
        <v>42</v>
      </c>
      <c r="C67" s="46" t="s">
        <v>176</v>
      </c>
      <c r="D67" s="11">
        <f>D38+D50</f>
        <v>2020589.58</v>
      </c>
      <c r="E67" s="11">
        <f>D67/12</f>
        <v>168382.465</v>
      </c>
      <c r="F67" s="83">
        <f>D67/$D$12/12</f>
        <v>9.136919658360826</v>
      </c>
      <c r="G67" s="11">
        <f>G38+G50</f>
        <v>305875</v>
      </c>
      <c r="H67" s="61">
        <f t="shared" si="5"/>
        <v>17.52825150139825</v>
      </c>
      <c r="I67" s="11">
        <f>I38+I50</f>
        <v>1714714.58</v>
      </c>
      <c r="J67" s="61">
        <f t="shared" si="6"/>
        <v>8.418041171318716</v>
      </c>
      <c r="K67" s="49"/>
      <c r="L67" s="64"/>
      <c r="M67" s="34"/>
    </row>
    <row r="68" spans="2:13" ht="38.25">
      <c r="B68" s="32" t="s">
        <v>43</v>
      </c>
      <c r="C68" s="46" t="s">
        <v>177</v>
      </c>
      <c r="D68" s="11">
        <f>D67-D29-D24</f>
        <v>1740656.58</v>
      </c>
      <c r="E68" s="11">
        <f>D68/12</f>
        <v>145054.715</v>
      </c>
      <c r="F68" s="83">
        <f>D68/12/SUM($D$9:$D$11)</f>
        <v>7.871088459367946</v>
      </c>
      <c r="G68" s="11">
        <f>G67-G29-G24</f>
        <v>283786</v>
      </c>
      <c r="H68" s="61">
        <f t="shared" si="5"/>
        <v>16.262435245037363</v>
      </c>
      <c r="I68" s="11">
        <f>I67-I29-I24</f>
        <v>1456870.58</v>
      </c>
      <c r="J68" s="61">
        <f t="shared" si="6"/>
        <v>7.152208692202861</v>
      </c>
      <c r="K68" s="49"/>
      <c r="L68" s="43"/>
      <c r="M68" s="34"/>
    </row>
    <row r="69" spans="2:13" ht="25.5">
      <c r="B69" s="53" t="s">
        <v>69</v>
      </c>
      <c r="C69" s="57" t="s">
        <v>178</v>
      </c>
      <c r="D69" s="11">
        <f>D70+D85+D91</f>
        <v>1863811.62</v>
      </c>
      <c r="E69" s="11">
        <f>D69/12</f>
        <v>155317.635</v>
      </c>
      <c r="F69" s="61">
        <f>D69/12/SUM($D$9:$D$10)</f>
        <v>9.15000265101976</v>
      </c>
      <c r="G69" s="120" t="s">
        <v>118</v>
      </c>
      <c r="H69" s="121"/>
      <c r="I69" s="121"/>
      <c r="J69" s="121"/>
      <c r="K69" s="121"/>
      <c r="L69" s="43"/>
      <c r="M69" s="34"/>
    </row>
    <row r="70" spans="2:13" ht="25.5">
      <c r="B70" s="53" t="s">
        <v>70</v>
      </c>
      <c r="C70" s="10" t="s">
        <v>90</v>
      </c>
      <c r="D70" s="11">
        <f>SUM(D71:D84)</f>
        <v>1659811.62</v>
      </c>
      <c r="E70" s="11">
        <f>D70/12</f>
        <v>138317.635</v>
      </c>
      <c r="F70" s="61">
        <f>D70/SUM($D$9:$D$10)/12</f>
        <v>8.148506297644717</v>
      </c>
      <c r="G70" s="89"/>
      <c r="H70" s="89"/>
      <c r="I70" s="89"/>
      <c r="J70" s="89"/>
      <c r="K70" s="7"/>
      <c r="L70" s="43"/>
      <c r="M70" s="34"/>
    </row>
    <row r="71" spans="2:13" ht="12.75">
      <c r="B71" s="53"/>
      <c r="C71" s="94" t="s">
        <v>93</v>
      </c>
      <c r="D71" s="62">
        <f>SUM('штатное '!J37:J39)*12</f>
        <v>465324.60000000003</v>
      </c>
      <c r="E71" s="62">
        <f>D71/12</f>
        <v>38777.05</v>
      </c>
      <c r="F71" s="74">
        <f>D71/SUM($D$9:$D$10)/12</f>
        <v>2.2844161276259825</v>
      </c>
      <c r="G71" s="90"/>
      <c r="H71" s="90"/>
      <c r="I71" s="90"/>
      <c r="J71" s="90"/>
      <c r="K71" s="7"/>
      <c r="L71" s="43"/>
      <c r="M71" s="34"/>
    </row>
    <row r="72" spans="2:13" ht="12.75">
      <c r="B72" s="53"/>
      <c r="C72" s="93" t="s">
        <v>158</v>
      </c>
      <c r="D72" s="62">
        <v>150000</v>
      </c>
      <c r="E72" s="62"/>
      <c r="F72" s="74">
        <f>D72/SUM($D$9:$D$10)/12</f>
        <v>0.7363943774816492</v>
      </c>
      <c r="G72" s="90"/>
      <c r="H72" s="90"/>
      <c r="I72" s="90"/>
      <c r="J72" s="90"/>
      <c r="K72" s="7"/>
      <c r="L72" s="43"/>
      <c r="M72" s="34"/>
    </row>
    <row r="73" spans="2:13" ht="25.5">
      <c r="B73" s="53"/>
      <c r="C73" s="93" t="s">
        <v>121</v>
      </c>
      <c r="D73" s="62">
        <v>75000</v>
      </c>
      <c r="E73" s="62"/>
      <c r="F73" s="74">
        <f>D73/SUM($D$9:$D$10)/12</f>
        <v>0.3681971887408246</v>
      </c>
      <c r="G73" s="90"/>
      <c r="H73" s="90"/>
      <c r="I73" s="90"/>
      <c r="J73" s="90"/>
      <c r="K73" s="7"/>
      <c r="L73" s="43"/>
      <c r="M73" s="34"/>
    </row>
    <row r="74" spans="2:13" ht="12.75">
      <c r="B74" s="53"/>
      <c r="C74" s="94" t="s">
        <v>105</v>
      </c>
      <c r="D74" s="62">
        <v>35000</v>
      </c>
      <c r="E74" s="62"/>
      <c r="F74" s="74">
        <f aca="true" t="shared" si="12" ref="F74:F93">D74/SUM($D$9:$D$10)/12</f>
        <v>0.17182535474571814</v>
      </c>
      <c r="G74" s="90"/>
      <c r="H74" s="90"/>
      <c r="I74" s="90"/>
      <c r="J74" s="90"/>
      <c r="K74" s="7"/>
      <c r="L74" s="43"/>
      <c r="M74" s="34"/>
    </row>
    <row r="75" spans="2:13" ht="12.75">
      <c r="B75" s="52"/>
      <c r="C75" s="94" t="s">
        <v>51</v>
      </c>
      <c r="D75" s="62">
        <f>115*215*12</f>
        <v>296700</v>
      </c>
      <c r="E75" s="62">
        <f>D75/12</f>
        <v>24725</v>
      </c>
      <c r="F75" s="74">
        <f t="shared" si="12"/>
        <v>1.456588078658702</v>
      </c>
      <c r="G75" s="90"/>
      <c r="H75" s="90"/>
      <c r="I75" s="90"/>
      <c r="J75" s="90"/>
      <c r="K75" s="91"/>
      <c r="L75" s="41"/>
      <c r="M75" s="34"/>
    </row>
    <row r="76" spans="2:13" ht="12.75">
      <c r="B76" s="51"/>
      <c r="C76" s="94" t="s">
        <v>52</v>
      </c>
      <c r="D76" s="62">
        <f>30000*12</f>
        <v>360000</v>
      </c>
      <c r="E76" s="62">
        <f>D76/12</f>
        <v>30000</v>
      </c>
      <c r="F76" s="74">
        <f t="shared" si="12"/>
        <v>1.7673465059559579</v>
      </c>
      <c r="G76" s="90"/>
      <c r="H76" s="90"/>
      <c r="I76" s="90"/>
      <c r="J76" s="90"/>
      <c r="K76" s="78"/>
      <c r="L76" s="43"/>
      <c r="M76" s="34"/>
    </row>
    <row r="77" spans="2:13" ht="12.75">
      <c r="B77" s="53"/>
      <c r="C77" s="94" t="s">
        <v>91</v>
      </c>
      <c r="D77" s="62">
        <f>1700*D13</f>
        <v>13600</v>
      </c>
      <c r="E77" s="62"/>
      <c r="F77" s="74">
        <f t="shared" si="12"/>
        <v>0.06676642355833619</v>
      </c>
      <c r="G77" s="90"/>
      <c r="H77" s="90"/>
      <c r="I77" s="90"/>
      <c r="J77" s="90"/>
      <c r="K77" s="78"/>
      <c r="L77" s="43"/>
      <c r="M77" s="34"/>
    </row>
    <row r="78" spans="2:13" ht="12.75">
      <c r="B78" s="53"/>
      <c r="C78" s="94" t="s">
        <v>88</v>
      </c>
      <c r="D78" s="62">
        <v>500</v>
      </c>
      <c r="E78" s="62"/>
      <c r="F78" s="74">
        <f t="shared" si="12"/>
        <v>0.0024546479249388303</v>
      </c>
      <c r="G78" s="90"/>
      <c r="H78" s="90"/>
      <c r="I78" s="90"/>
      <c r="J78" s="90"/>
      <c r="K78" s="78"/>
      <c r="L78" s="43"/>
      <c r="M78" s="34"/>
    </row>
    <row r="79" spans="2:13" ht="25.5">
      <c r="B79" s="53"/>
      <c r="C79" s="94" t="s">
        <v>97</v>
      </c>
      <c r="D79" s="62">
        <v>8720</v>
      </c>
      <c r="E79" s="62">
        <f>D79/12</f>
        <v>726.6666666666666</v>
      </c>
      <c r="F79" s="74">
        <f t="shared" si="12"/>
        <v>0.0428090598109332</v>
      </c>
      <c r="G79" s="90"/>
      <c r="H79" s="90"/>
      <c r="I79" s="90"/>
      <c r="J79" s="90"/>
      <c r="K79" s="78"/>
      <c r="L79" s="43"/>
      <c r="M79" s="34"/>
    </row>
    <row r="80" spans="2:13" ht="12.75">
      <c r="B80" s="53"/>
      <c r="C80" s="94" t="s">
        <v>46</v>
      </c>
      <c r="D80" s="62">
        <v>3000</v>
      </c>
      <c r="E80" s="62"/>
      <c r="F80" s="74">
        <f t="shared" si="12"/>
        <v>0.014727887549632982</v>
      </c>
      <c r="G80" s="90"/>
      <c r="H80" s="90"/>
      <c r="I80" s="90"/>
      <c r="J80" s="90"/>
      <c r="K80" s="78"/>
      <c r="L80" s="43"/>
      <c r="M80" s="34"/>
    </row>
    <row r="81" spans="2:13" ht="12.75">
      <c r="B81" s="53"/>
      <c r="C81" s="94" t="s">
        <v>203</v>
      </c>
      <c r="D81" s="62">
        <v>11000</v>
      </c>
      <c r="E81" s="62"/>
      <c r="F81" s="74">
        <f t="shared" si="12"/>
        <v>0.05400225434865427</v>
      </c>
      <c r="G81" s="90"/>
      <c r="H81" s="90"/>
      <c r="I81" s="90"/>
      <c r="J81" s="90"/>
      <c r="K81" s="78"/>
      <c r="L81" s="43"/>
      <c r="M81" s="34"/>
    </row>
    <row r="82" spans="2:14" ht="12.75">
      <c r="B82" s="51"/>
      <c r="C82" s="94" t="s">
        <v>142</v>
      </c>
      <c r="D82" s="62">
        <f>12000*12</f>
        <v>144000</v>
      </c>
      <c r="E82" s="62">
        <f>D82/12</f>
        <v>12000</v>
      </c>
      <c r="F82" s="74">
        <f>D82/SUM($D$9:$D$10)/12</f>
        <v>0.7069386023823832</v>
      </c>
      <c r="G82" s="90"/>
      <c r="H82" s="90"/>
      <c r="I82" s="90"/>
      <c r="J82" s="90"/>
      <c r="K82" s="79"/>
      <c r="L82" s="43"/>
      <c r="M82" s="34"/>
      <c r="N82" s="79"/>
    </row>
    <row r="83" spans="2:13" ht="12.75">
      <c r="B83" s="53"/>
      <c r="C83" s="94" t="s">
        <v>87</v>
      </c>
      <c r="D83" s="62">
        <f>4830*12</f>
        <v>57960</v>
      </c>
      <c r="E83" s="62">
        <f>D83/12</f>
        <v>4830</v>
      </c>
      <c r="F83" s="74">
        <f t="shared" si="12"/>
        <v>0.2845427874589092</v>
      </c>
      <c r="G83" s="90"/>
      <c r="H83" s="90"/>
      <c r="I83" s="90"/>
      <c r="J83" s="90"/>
      <c r="K83" s="78"/>
      <c r="L83" s="43"/>
      <c r="M83" s="34"/>
    </row>
    <row r="84" spans="2:13" ht="12.75">
      <c r="B84" s="53"/>
      <c r="C84" s="94" t="s">
        <v>53</v>
      </c>
      <c r="D84" s="62">
        <f>0.215*$D$9*12</f>
        <v>39007.020000000004</v>
      </c>
      <c r="E84" s="62">
        <f>D84/12</f>
        <v>3250.5850000000005</v>
      </c>
      <c r="F84" s="74">
        <f t="shared" si="12"/>
        <v>0.1914970014020949</v>
      </c>
      <c r="G84" s="90"/>
      <c r="H84" s="90"/>
      <c r="I84" s="90"/>
      <c r="J84" s="90"/>
      <c r="K84" s="78"/>
      <c r="L84" s="43"/>
      <c r="M84" s="34"/>
    </row>
    <row r="85" spans="2:14" ht="12.75">
      <c r="B85" s="53" t="s">
        <v>71</v>
      </c>
      <c r="C85" s="31" t="s">
        <v>33</v>
      </c>
      <c r="D85" s="11">
        <f>SUM(D86:D90)</f>
        <v>189000</v>
      </c>
      <c r="E85" s="11">
        <f>D85/12</f>
        <v>15750</v>
      </c>
      <c r="F85" s="61">
        <f>D85/SUM($D$9:$D$10)/12</f>
        <v>0.9278569156268778</v>
      </c>
      <c r="G85" s="89"/>
      <c r="H85" s="89"/>
      <c r="I85" s="89"/>
      <c r="J85" s="89"/>
      <c r="K85" s="78"/>
      <c r="L85" s="43"/>
      <c r="M85" s="34"/>
      <c r="N85" s="4"/>
    </row>
    <row r="86" spans="2:14" ht="12.75">
      <c r="B86" s="51"/>
      <c r="C86" s="93" t="s">
        <v>34</v>
      </c>
      <c r="D86" s="62">
        <v>9000</v>
      </c>
      <c r="E86" s="62"/>
      <c r="F86" s="74">
        <f t="shared" si="12"/>
        <v>0.04418366264889895</v>
      </c>
      <c r="G86" s="90"/>
      <c r="H86" s="90"/>
      <c r="I86" s="90"/>
      <c r="J86" s="90"/>
      <c r="K86" s="77"/>
      <c r="L86" s="43"/>
      <c r="M86" s="34"/>
      <c r="N86" s="77"/>
    </row>
    <row r="87" spans="2:14" ht="12.75">
      <c r="B87" s="51"/>
      <c r="C87" s="93" t="s">
        <v>92</v>
      </c>
      <c r="D87" s="62">
        <v>15000</v>
      </c>
      <c r="E87" s="62"/>
      <c r="F87" s="74">
        <f t="shared" si="12"/>
        <v>0.07363943774816491</v>
      </c>
      <c r="G87" s="90"/>
      <c r="H87" s="90"/>
      <c r="I87" s="90"/>
      <c r="J87" s="90"/>
      <c r="K87" s="77"/>
      <c r="L87" s="43"/>
      <c r="M87" s="34"/>
      <c r="N87" s="77"/>
    </row>
    <row r="88" spans="2:14" ht="25.5">
      <c r="B88" s="51"/>
      <c r="C88" s="93" t="s">
        <v>141</v>
      </c>
      <c r="D88" s="62">
        <v>30000</v>
      </c>
      <c r="E88" s="62"/>
      <c r="F88" s="74">
        <f>D88/SUM($D$9:$D$10)/12</f>
        <v>0.14727887549632981</v>
      </c>
      <c r="G88" s="90"/>
      <c r="H88" s="90"/>
      <c r="I88" s="90"/>
      <c r="J88" s="90"/>
      <c r="K88" s="77"/>
      <c r="L88" s="43"/>
      <c r="M88" s="34"/>
      <c r="N88" s="77"/>
    </row>
    <row r="89" spans="2:14" ht="12.75">
      <c r="B89" s="51"/>
      <c r="C89" s="93" t="s">
        <v>114</v>
      </c>
      <c r="D89" s="62">
        <v>130000</v>
      </c>
      <c r="E89" s="62"/>
      <c r="F89" s="74">
        <f t="shared" si="12"/>
        <v>0.638208460484096</v>
      </c>
      <c r="G89" s="90"/>
      <c r="H89" s="90"/>
      <c r="I89" s="90"/>
      <c r="J89" s="90"/>
      <c r="K89" s="78"/>
      <c r="L89" s="43"/>
      <c r="M89" s="34"/>
      <c r="N89" s="78"/>
    </row>
    <row r="90" spans="2:14" ht="12.75">
      <c r="B90" s="51"/>
      <c r="C90" s="93" t="s">
        <v>35</v>
      </c>
      <c r="D90" s="62">
        <v>5000</v>
      </c>
      <c r="E90" s="62"/>
      <c r="F90" s="74">
        <f t="shared" si="12"/>
        <v>0.0245464792493883</v>
      </c>
      <c r="G90" s="90"/>
      <c r="H90" s="90"/>
      <c r="I90" s="90"/>
      <c r="J90" s="90"/>
      <c r="K90" s="78"/>
      <c r="L90" s="43"/>
      <c r="M90" s="34"/>
      <c r="N90" s="78"/>
    </row>
    <row r="91" spans="2:14" ht="12.75">
      <c r="B91" s="53" t="s">
        <v>72</v>
      </c>
      <c r="C91" s="31" t="s">
        <v>48</v>
      </c>
      <c r="D91" s="11">
        <f>SUM(D92:D93)</f>
        <v>15000</v>
      </c>
      <c r="E91" s="11">
        <f>D91/12</f>
        <v>1250</v>
      </c>
      <c r="F91" s="61">
        <f>D91/SUM($D$9:$D$10)/12</f>
        <v>0.07363943774816491</v>
      </c>
      <c r="G91" s="89"/>
      <c r="H91" s="89"/>
      <c r="I91" s="89"/>
      <c r="J91" s="89"/>
      <c r="K91" s="78"/>
      <c r="L91" s="43"/>
      <c r="M91" s="34"/>
      <c r="N91" s="78"/>
    </row>
    <row r="92" spans="2:14" ht="25.5">
      <c r="B92" s="53"/>
      <c r="C92" s="94" t="s">
        <v>49</v>
      </c>
      <c r="D92" s="62">
        <v>15000</v>
      </c>
      <c r="E92" s="62"/>
      <c r="F92" s="74">
        <f t="shared" si="12"/>
        <v>0.07363943774816491</v>
      </c>
      <c r="G92" s="90"/>
      <c r="H92" s="90"/>
      <c r="I92" s="90"/>
      <c r="J92" s="90"/>
      <c r="K92" s="78"/>
      <c r="L92" s="43"/>
      <c r="M92" s="34"/>
      <c r="N92" s="78"/>
    </row>
    <row r="93" spans="2:14" ht="12.75">
      <c r="B93" s="53"/>
      <c r="C93" s="94"/>
      <c r="D93" s="62"/>
      <c r="E93" s="62">
        <f>D93/12</f>
        <v>0</v>
      </c>
      <c r="F93" s="74">
        <f t="shared" si="12"/>
        <v>0</v>
      </c>
      <c r="G93" s="92"/>
      <c r="H93" s="92"/>
      <c r="I93" s="92"/>
      <c r="J93" s="92"/>
      <c r="K93" s="78"/>
      <c r="L93" s="43"/>
      <c r="M93" s="34"/>
      <c r="N93" s="78"/>
    </row>
    <row r="94" spans="2:14" ht="12.75">
      <c r="B94" s="53" t="s">
        <v>73</v>
      </c>
      <c r="C94" s="31" t="s">
        <v>38</v>
      </c>
      <c r="D94" s="11">
        <f>SUM(D95:D98)</f>
        <v>190000</v>
      </c>
      <c r="E94" s="11">
        <f>D94/12</f>
        <v>15833.333333333334</v>
      </c>
      <c r="F94" s="62"/>
      <c r="G94" s="92"/>
      <c r="H94" s="92"/>
      <c r="I94" s="92"/>
      <c r="J94" s="92"/>
      <c r="K94" s="78"/>
      <c r="L94" s="43"/>
      <c r="M94" s="34"/>
      <c r="N94" s="78"/>
    </row>
    <row r="95" spans="2:14" ht="12.75">
      <c r="B95" s="53"/>
      <c r="C95" s="94" t="s">
        <v>157</v>
      </c>
      <c r="D95" s="62">
        <v>60000</v>
      </c>
      <c r="E95" s="62"/>
      <c r="F95" s="74"/>
      <c r="G95" s="92"/>
      <c r="H95" s="90"/>
      <c r="I95" s="92"/>
      <c r="J95" s="90"/>
      <c r="K95" s="7"/>
      <c r="L95" s="43"/>
      <c r="M95" s="34"/>
      <c r="N95" s="4"/>
    </row>
    <row r="96" spans="2:14" ht="12.75">
      <c r="B96" s="53"/>
      <c r="C96" s="94" t="s">
        <v>115</v>
      </c>
      <c r="D96" s="62">
        <v>50000</v>
      </c>
      <c r="E96" s="62"/>
      <c r="F96" s="74"/>
      <c r="G96" s="92"/>
      <c r="H96" s="90"/>
      <c r="I96" s="92"/>
      <c r="J96" s="90"/>
      <c r="K96" s="7"/>
      <c r="L96" s="43"/>
      <c r="M96" s="34"/>
      <c r="N96" s="4"/>
    </row>
    <row r="97" spans="2:14" s="55" customFormat="1" ht="25.5">
      <c r="B97" s="54"/>
      <c r="C97" s="93" t="s">
        <v>116</v>
      </c>
      <c r="D97" s="62">
        <v>40000</v>
      </c>
      <c r="E97" s="62"/>
      <c r="F97" s="62"/>
      <c r="G97" s="92"/>
      <c r="H97" s="92"/>
      <c r="I97" s="92"/>
      <c r="J97" s="92"/>
      <c r="K97" s="79"/>
      <c r="L97" s="43"/>
      <c r="N97" s="79"/>
    </row>
    <row r="98" spans="2:14" s="55" customFormat="1" ht="25.5">
      <c r="B98" s="56"/>
      <c r="C98" s="94" t="s">
        <v>109</v>
      </c>
      <c r="D98" s="62">
        <v>40000</v>
      </c>
      <c r="E98" s="62"/>
      <c r="F98" s="62"/>
      <c r="G98" s="92"/>
      <c r="H98" s="92"/>
      <c r="I98" s="92"/>
      <c r="J98" s="92"/>
      <c r="K98" s="80"/>
      <c r="L98" s="43"/>
      <c r="N98" s="80"/>
    </row>
    <row r="99" spans="2:14" ht="12.75">
      <c r="B99" s="53" t="s">
        <v>74</v>
      </c>
      <c r="C99" s="31" t="s">
        <v>76</v>
      </c>
      <c r="D99" s="11">
        <f>D30-D94</f>
        <v>362864</v>
      </c>
      <c r="E99" s="11">
        <f>D99/12</f>
        <v>30238.666666666668</v>
      </c>
      <c r="F99" s="62"/>
      <c r="G99" s="92"/>
      <c r="H99" s="92"/>
      <c r="I99" s="92"/>
      <c r="J99" s="92"/>
      <c r="K99" s="81"/>
      <c r="L99" s="43"/>
      <c r="N99" s="81"/>
    </row>
    <row r="100" spans="2:14" ht="12.75">
      <c r="B100" s="53"/>
      <c r="C100" s="50"/>
      <c r="D100" s="62"/>
      <c r="E100" s="62">
        <f>D100/12</f>
        <v>0</v>
      </c>
      <c r="F100" s="62"/>
      <c r="G100" s="92"/>
      <c r="H100" s="92"/>
      <c r="I100" s="92"/>
      <c r="J100" s="92"/>
      <c r="K100" s="78"/>
      <c r="L100" s="34"/>
      <c r="M100" s="34"/>
      <c r="N100" s="4"/>
    </row>
    <row r="101" spans="2:14" ht="12.75">
      <c r="B101" s="53" t="s">
        <v>75</v>
      </c>
      <c r="C101" s="31" t="s">
        <v>78</v>
      </c>
      <c r="D101" s="11">
        <f>D35-(D67+D70+D85+D91+D94+D99)</f>
        <v>0</v>
      </c>
      <c r="E101" s="11">
        <f>D101/12</f>
        <v>0</v>
      </c>
      <c r="F101" s="62"/>
      <c r="G101" s="92"/>
      <c r="H101" s="92"/>
      <c r="I101" s="92"/>
      <c r="J101" s="92"/>
      <c r="K101" s="78"/>
      <c r="L101" s="43"/>
      <c r="M101" s="34"/>
      <c r="N101" s="4"/>
    </row>
    <row r="102" spans="2:14" ht="12.75">
      <c r="B102" s="53"/>
      <c r="C102" s="31"/>
      <c r="D102" s="11"/>
      <c r="E102" s="11">
        <f>D102/12</f>
        <v>0</v>
      </c>
      <c r="F102" s="62"/>
      <c r="G102" s="92"/>
      <c r="H102" s="92"/>
      <c r="I102" s="92"/>
      <c r="J102" s="92"/>
      <c r="K102" s="78"/>
      <c r="L102" s="43"/>
      <c r="M102" s="34"/>
      <c r="N102" s="4"/>
    </row>
    <row r="103" spans="2:10" s="4" customFormat="1" ht="12.75">
      <c r="B103" s="58" t="s">
        <v>77</v>
      </c>
      <c r="C103" s="88" t="s">
        <v>9</v>
      </c>
      <c r="D103" s="59">
        <f>SUM(D38:D38)+D50+D70+D85+D91+D94+D99+D101</f>
        <v>4437265.2</v>
      </c>
      <c r="E103" s="59">
        <f>D103/12</f>
        <v>369772.10000000003</v>
      </c>
      <c r="F103" s="7"/>
      <c r="G103" s="7"/>
      <c r="H103" s="7"/>
      <c r="I103" s="7"/>
      <c r="J103" s="7"/>
    </row>
    <row r="104" ht="12.75">
      <c r="N104" s="4"/>
    </row>
    <row r="105" spans="3:14" ht="12.75">
      <c r="C105" s="40" t="s">
        <v>39</v>
      </c>
      <c r="D105" s="1">
        <f>D35-D103</f>
        <v>0</v>
      </c>
      <c r="E105" s="1"/>
      <c r="F105" s="1"/>
      <c r="G105" s="1"/>
      <c r="H105" s="1"/>
      <c r="I105" s="1"/>
      <c r="J105" s="1"/>
      <c r="N105" s="4"/>
    </row>
  </sheetData>
  <sheetProtection/>
  <mergeCells count="13">
    <mergeCell ref="G69:K69"/>
    <mergeCell ref="G19:J19"/>
    <mergeCell ref="G20:H20"/>
    <mergeCell ref="I20:J20"/>
    <mergeCell ref="B19:B21"/>
    <mergeCell ref="K19:K21"/>
    <mergeCell ref="D19:F19"/>
    <mergeCell ref="E12:F12"/>
    <mergeCell ref="C19:C21"/>
    <mergeCell ref="E8:F8"/>
    <mergeCell ref="E9:F9"/>
    <mergeCell ref="E10:F10"/>
    <mergeCell ref="E11:F11"/>
  </mergeCells>
  <printOptions horizontalCentered="1"/>
  <pageMargins left="0.5905511811023623" right="0.3937007874015748" top="0.3937007874015748" bottom="0.3937007874015748" header="0.5118110236220472" footer="0.5118110236220472"/>
  <pageSetup fitToHeight="3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0"/>
  <sheetViews>
    <sheetView zoomScalePageLayoutView="0" workbookViewId="0" topLeftCell="A57">
      <selection activeCell="A34" sqref="A34"/>
    </sheetView>
  </sheetViews>
  <sheetFormatPr defaultColWidth="9.00390625" defaultRowHeight="12.75"/>
  <cols>
    <col min="1" max="1" width="32.125" style="0" customWidth="1"/>
    <col min="2" max="2" width="10.75390625" style="0" bestFit="1" customWidth="1"/>
    <col min="3" max="3" width="10.25390625" style="0" bestFit="1" customWidth="1"/>
    <col min="4" max="4" width="9.875" style="0" bestFit="1" customWidth="1"/>
    <col min="5" max="5" width="8.125" style="0" bestFit="1" customWidth="1"/>
    <col min="6" max="9" width="11.125" style="0" customWidth="1"/>
    <col min="10" max="11" width="13.375" style="0" customWidth="1"/>
    <col min="12" max="12" width="18.00390625" style="0" bestFit="1" customWidth="1"/>
    <col min="13" max="13" width="12.875" style="0" customWidth="1"/>
  </cols>
  <sheetData>
    <row r="3" ht="12.75">
      <c r="A3" t="s">
        <v>148</v>
      </c>
    </row>
    <row r="5" spans="1:13" ht="51">
      <c r="A5" s="16" t="s">
        <v>10</v>
      </c>
      <c r="B5" s="16" t="s">
        <v>58</v>
      </c>
      <c r="C5" s="16" t="s">
        <v>11</v>
      </c>
      <c r="D5" s="16" t="s">
        <v>16</v>
      </c>
      <c r="E5" s="16" t="s">
        <v>82</v>
      </c>
      <c r="F5" s="16" t="s">
        <v>84</v>
      </c>
      <c r="G5" s="16" t="s">
        <v>81</v>
      </c>
      <c r="H5" s="16" t="s">
        <v>206</v>
      </c>
      <c r="I5" s="16" t="s">
        <v>50</v>
      </c>
      <c r="J5" s="16" t="s">
        <v>86</v>
      </c>
      <c r="K5" s="16" t="s">
        <v>113</v>
      </c>
      <c r="L5" s="17" t="s">
        <v>80</v>
      </c>
      <c r="M5" s="17" t="s">
        <v>12</v>
      </c>
    </row>
    <row r="6" spans="1:13" ht="12.7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19"/>
      <c r="M6" s="19"/>
    </row>
    <row r="7" spans="1:13" ht="12.75">
      <c r="A7" s="18">
        <v>1</v>
      </c>
      <c r="B7" s="18">
        <v>2</v>
      </c>
      <c r="C7" s="18">
        <v>3</v>
      </c>
      <c r="D7" s="18">
        <v>4</v>
      </c>
      <c r="E7" s="18"/>
      <c r="F7" s="18"/>
      <c r="G7" s="18"/>
      <c r="H7" s="18"/>
      <c r="I7" s="18"/>
      <c r="J7" s="18"/>
      <c r="K7" s="18"/>
      <c r="L7" s="18">
        <v>5</v>
      </c>
      <c r="M7" s="18">
        <v>6</v>
      </c>
    </row>
    <row r="8" spans="1:13" ht="12.75">
      <c r="A8" s="20" t="s">
        <v>124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9"/>
      <c r="M8" s="19"/>
    </row>
    <row r="9" spans="1:13" ht="12.75">
      <c r="A9" s="25" t="s">
        <v>14</v>
      </c>
      <c r="B9" s="22">
        <v>0.5</v>
      </c>
      <c r="C9" s="23">
        <v>18410</v>
      </c>
      <c r="D9" s="23">
        <f>B9*C9</f>
        <v>9205</v>
      </c>
      <c r="E9" s="23"/>
      <c r="F9" s="23">
        <f>SUM(D9:E9)</f>
        <v>9205</v>
      </c>
      <c r="G9" s="23">
        <f>F9*0.15</f>
        <v>1380.75</v>
      </c>
      <c r="H9" s="23">
        <f aca="true" t="shared" si="0" ref="H9:H20">F9*0.262</f>
        <v>2411.71</v>
      </c>
      <c r="I9" s="23">
        <f>SUM(F9:H9)/12</f>
        <v>1083.1216666666667</v>
      </c>
      <c r="J9" s="23">
        <f>SUM(F9:I9)</f>
        <v>14080.581666666665</v>
      </c>
      <c r="K9" s="23">
        <f>J9*12</f>
        <v>168966.97999999998</v>
      </c>
      <c r="L9" s="25" t="s">
        <v>179</v>
      </c>
      <c r="M9" s="24" t="s">
        <v>83</v>
      </c>
    </row>
    <row r="10" spans="1:13" ht="12.75" hidden="1">
      <c r="A10" s="25" t="s">
        <v>128</v>
      </c>
      <c r="B10" s="22"/>
      <c r="C10" s="23">
        <v>10000</v>
      </c>
      <c r="D10" s="23">
        <f aca="true" t="shared" si="1" ref="D10:D16">B10*C10</f>
        <v>0</v>
      </c>
      <c r="E10" s="23"/>
      <c r="F10" s="23">
        <f aca="true" t="shared" si="2" ref="F10:F16">SUM(D10:E10)</f>
        <v>0</v>
      </c>
      <c r="G10" s="23">
        <f aca="true" t="shared" si="3" ref="G10:G20">F10*0.15</f>
        <v>0</v>
      </c>
      <c r="H10" s="23">
        <f t="shared" si="0"/>
        <v>0</v>
      </c>
      <c r="I10" s="23">
        <f aca="true" t="shared" si="4" ref="I10:I16">SUM(F10:H10)/12</f>
        <v>0</v>
      </c>
      <c r="J10" s="23">
        <f aca="true" t="shared" si="5" ref="J10:J16">SUM(F10:I10)</f>
        <v>0</v>
      </c>
      <c r="K10" s="23">
        <f aca="true" t="shared" si="6" ref="K10:K20">J10*12</f>
        <v>0</v>
      </c>
      <c r="L10" s="25"/>
      <c r="M10" s="24" t="s">
        <v>83</v>
      </c>
    </row>
    <row r="11" spans="1:13" ht="12.75" hidden="1">
      <c r="A11" s="25" t="s">
        <v>128</v>
      </c>
      <c r="B11" s="22"/>
      <c r="C11" s="23">
        <v>10000</v>
      </c>
      <c r="D11" s="23">
        <f t="shared" si="1"/>
        <v>0</v>
      </c>
      <c r="E11" s="23"/>
      <c r="F11" s="23">
        <f t="shared" si="2"/>
        <v>0</v>
      </c>
      <c r="G11" s="23">
        <f t="shared" si="3"/>
        <v>0</v>
      </c>
      <c r="H11" s="23">
        <f t="shared" si="0"/>
        <v>0</v>
      </c>
      <c r="I11" s="23">
        <f t="shared" si="4"/>
        <v>0</v>
      </c>
      <c r="J11" s="23">
        <f t="shared" si="5"/>
        <v>0</v>
      </c>
      <c r="K11" s="23">
        <f t="shared" si="6"/>
        <v>0</v>
      </c>
      <c r="L11" s="25"/>
      <c r="M11" s="24" t="s">
        <v>83</v>
      </c>
    </row>
    <row r="12" spans="1:13" ht="12.75" hidden="1">
      <c r="A12" s="25" t="s">
        <v>128</v>
      </c>
      <c r="B12" s="22"/>
      <c r="C12" s="23">
        <v>10000</v>
      </c>
      <c r="D12" s="23">
        <f t="shared" si="1"/>
        <v>0</v>
      </c>
      <c r="E12" s="23"/>
      <c r="F12" s="23">
        <f t="shared" si="2"/>
        <v>0</v>
      </c>
      <c r="G12" s="23">
        <f t="shared" si="3"/>
        <v>0</v>
      </c>
      <c r="H12" s="23">
        <f t="shared" si="0"/>
        <v>0</v>
      </c>
      <c r="I12" s="23">
        <f t="shared" si="4"/>
        <v>0</v>
      </c>
      <c r="J12" s="23">
        <f t="shared" si="5"/>
        <v>0</v>
      </c>
      <c r="K12" s="23">
        <f t="shared" si="6"/>
        <v>0</v>
      </c>
      <c r="L12" s="25"/>
      <c r="M12" s="24" t="s">
        <v>83</v>
      </c>
    </row>
    <row r="13" spans="1:13" ht="12.75" hidden="1">
      <c r="A13" s="25" t="s">
        <v>128</v>
      </c>
      <c r="B13" s="22"/>
      <c r="C13" s="23">
        <v>10000</v>
      </c>
      <c r="D13" s="23">
        <f t="shared" si="1"/>
        <v>0</v>
      </c>
      <c r="E13" s="23"/>
      <c r="F13" s="23">
        <f t="shared" si="2"/>
        <v>0</v>
      </c>
      <c r="G13" s="23">
        <f t="shared" si="3"/>
        <v>0</v>
      </c>
      <c r="H13" s="23">
        <f t="shared" si="0"/>
        <v>0</v>
      </c>
      <c r="I13" s="23">
        <f t="shared" si="4"/>
        <v>0</v>
      </c>
      <c r="J13" s="23">
        <f t="shared" si="5"/>
        <v>0</v>
      </c>
      <c r="K13" s="23">
        <f t="shared" si="6"/>
        <v>0</v>
      </c>
      <c r="L13" s="25"/>
      <c r="M13" s="24" t="s">
        <v>83</v>
      </c>
    </row>
    <row r="14" spans="1:13" ht="12.75" hidden="1">
      <c r="A14" s="25" t="s">
        <v>128</v>
      </c>
      <c r="B14" s="22"/>
      <c r="C14" s="23">
        <v>10000</v>
      </c>
      <c r="D14" s="23">
        <f t="shared" si="1"/>
        <v>0</v>
      </c>
      <c r="E14" s="23"/>
      <c r="F14" s="23">
        <f t="shared" si="2"/>
        <v>0</v>
      </c>
      <c r="G14" s="23">
        <f t="shared" si="3"/>
        <v>0</v>
      </c>
      <c r="H14" s="23">
        <f t="shared" si="0"/>
        <v>0</v>
      </c>
      <c r="I14" s="23">
        <f t="shared" si="4"/>
        <v>0</v>
      </c>
      <c r="J14" s="23">
        <f t="shared" si="5"/>
        <v>0</v>
      </c>
      <c r="K14" s="23">
        <f t="shared" si="6"/>
        <v>0</v>
      </c>
      <c r="L14" s="25"/>
      <c r="M14" s="24" t="s">
        <v>83</v>
      </c>
    </row>
    <row r="15" spans="1:13" ht="12.75" hidden="1">
      <c r="A15" s="25" t="s">
        <v>128</v>
      </c>
      <c r="B15" s="22"/>
      <c r="C15" s="23">
        <v>10000</v>
      </c>
      <c r="D15" s="23">
        <f t="shared" si="1"/>
        <v>0</v>
      </c>
      <c r="E15" s="23"/>
      <c r="F15" s="23">
        <f t="shared" si="2"/>
        <v>0</v>
      </c>
      <c r="G15" s="23">
        <f t="shared" si="3"/>
        <v>0</v>
      </c>
      <c r="H15" s="23">
        <f t="shared" si="0"/>
        <v>0</v>
      </c>
      <c r="I15" s="23">
        <f t="shared" si="4"/>
        <v>0</v>
      </c>
      <c r="J15" s="23">
        <f t="shared" si="5"/>
        <v>0</v>
      </c>
      <c r="K15" s="23">
        <f t="shared" si="6"/>
        <v>0</v>
      </c>
      <c r="L15" s="25"/>
      <c r="M15" s="24" t="s">
        <v>83</v>
      </c>
    </row>
    <row r="16" spans="1:13" ht="12.75" hidden="1">
      <c r="A16" s="25" t="s">
        <v>128</v>
      </c>
      <c r="B16" s="22"/>
      <c r="C16" s="23">
        <v>10000</v>
      </c>
      <c r="D16" s="23">
        <f t="shared" si="1"/>
        <v>0</v>
      </c>
      <c r="E16" s="23"/>
      <c r="F16" s="23">
        <f t="shared" si="2"/>
        <v>0</v>
      </c>
      <c r="G16" s="23">
        <f t="shared" si="3"/>
        <v>0</v>
      </c>
      <c r="H16" s="23">
        <f t="shared" si="0"/>
        <v>0</v>
      </c>
      <c r="I16" s="23">
        <f t="shared" si="4"/>
        <v>0</v>
      </c>
      <c r="J16" s="23">
        <f t="shared" si="5"/>
        <v>0</v>
      </c>
      <c r="K16" s="23">
        <f t="shared" si="6"/>
        <v>0</v>
      </c>
      <c r="L16" s="25"/>
      <c r="M16" s="24" t="s">
        <v>83</v>
      </c>
    </row>
    <row r="17" spans="1:13" ht="12.75" hidden="1">
      <c r="A17" s="25" t="s">
        <v>128</v>
      </c>
      <c r="B17" s="22"/>
      <c r="C17" s="23">
        <v>10000</v>
      </c>
      <c r="D17" s="23">
        <f>B17*C17</f>
        <v>0</v>
      </c>
      <c r="E17" s="23"/>
      <c r="F17" s="23">
        <f>SUM(D17:E17)</f>
        <v>0</v>
      </c>
      <c r="G17" s="23">
        <f t="shared" si="3"/>
        <v>0</v>
      </c>
      <c r="H17" s="23">
        <f t="shared" si="0"/>
        <v>0</v>
      </c>
      <c r="I17" s="23">
        <f>SUM(F17:H17)/12</f>
        <v>0</v>
      </c>
      <c r="J17" s="23">
        <f>SUM(F17:I17)</f>
        <v>0</v>
      </c>
      <c r="K17" s="23">
        <f t="shared" si="6"/>
        <v>0</v>
      </c>
      <c r="L17" s="25"/>
      <c r="M17" s="24" t="s">
        <v>83</v>
      </c>
    </row>
    <row r="18" spans="1:13" ht="12.75">
      <c r="A18" s="25" t="s">
        <v>125</v>
      </c>
      <c r="B18" s="22">
        <v>0.5</v>
      </c>
      <c r="C18" s="23">
        <v>19000</v>
      </c>
      <c r="D18" s="23">
        <f>B18*C18</f>
        <v>9500</v>
      </c>
      <c r="E18" s="23">
        <f>D18*0.3</f>
        <v>2850</v>
      </c>
      <c r="F18" s="23">
        <f>SUM(D18:E18)</f>
        <v>12350</v>
      </c>
      <c r="G18" s="23">
        <f t="shared" si="3"/>
        <v>1852.5</v>
      </c>
      <c r="H18" s="23">
        <f t="shared" si="0"/>
        <v>3235.7000000000003</v>
      </c>
      <c r="I18" s="23">
        <f>SUM(F18:H18)/12</f>
        <v>1453.1833333333334</v>
      </c>
      <c r="J18" s="23">
        <f>SUM(F18:I18)</f>
        <v>18891.383333333335</v>
      </c>
      <c r="K18" s="23">
        <f t="shared" si="6"/>
        <v>226696.60000000003</v>
      </c>
      <c r="L18" s="25" t="s">
        <v>180</v>
      </c>
      <c r="M18" s="24" t="s">
        <v>83</v>
      </c>
    </row>
    <row r="19" spans="1:13" ht="12.75" hidden="1">
      <c r="A19" s="25" t="s">
        <v>136</v>
      </c>
      <c r="B19" s="22"/>
      <c r="C19" s="23">
        <v>15000</v>
      </c>
      <c r="D19" s="23">
        <f>B19*C19</f>
        <v>0</v>
      </c>
      <c r="E19" s="23">
        <f>D19*0.3</f>
        <v>0</v>
      </c>
      <c r="F19" s="23">
        <f>SUM(D19:E19)</f>
        <v>0</v>
      </c>
      <c r="G19" s="23">
        <f t="shared" si="3"/>
        <v>0</v>
      </c>
      <c r="H19" s="23">
        <f t="shared" si="0"/>
        <v>0</v>
      </c>
      <c r="I19" s="23">
        <f>SUM(F19:H19)/12</f>
        <v>0</v>
      </c>
      <c r="J19" s="23">
        <f>SUM(F19:I19)</f>
        <v>0</v>
      </c>
      <c r="K19" s="23">
        <f t="shared" si="6"/>
        <v>0</v>
      </c>
      <c r="L19" s="25"/>
      <c r="M19" s="24" t="s">
        <v>83</v>
      </c>
    </row>
    <row r="20" spans="1:13" ht="12.75" hidden="1">
      <c r="A20" s="25" t="s">
        <v>137</v>
      </c>
      <c r="B20" s="22"/>
      <c r="C20" s="23">
        <v>10000</v>
      </c>
      <c r="D20" s="23">
        <f>B20*C20</f>
        <v>0</v>
      </c>
      <c r="E20" s="23">
        <f>D20*0.3</f>
        <v>0</v>
      </c>
      <c r="F20" s="23">
        <f>SUM(D20:E20)</f>
        <v>0</v>
      </c>
      <c r="G20" s="23">
        <f t="shared" si="3"/>
        <v>0</v>
      </c>
      <c r="H20" s="23">
        <f t="shared" si="0"/>
        <v>0</v>
      </c>
      <c r="I20" s="23">
        <f>SUM(F20:H20)/12</f>
        <v>0</v>
      </c>
      <c r="J20" s="23">
        <f>SUM(F20:I20)</f>
        <v>0</v>
      </c>
      <c r="K20" s="23">
        <f t="shared" si="6"/>
        <v>0</v>
      </c>
      <c r="L20" s="25"/>
      <c r="M20" s="24" t="s">
        <v>83</v>
      </c>
    </row>
    <row r="21" spans="1:13" ht="12.75">
      <c r="A21" s="25"/>
      <c r="B21" s="22"/>
      <c r="C21" s="23"/>
      <c r="D21" s="23"/>
      <c r="E21" s="23"/>
      <c r="F21" s="23"/>
      <c r="G21" s="23"/>
      <c r="H21" s="23"/>
      <c r="I21" s="23"/>
      <c r="J21" s="23"/>
      <c r="K21" s="82">
        <f>SUM(K9:K20)</f>
        <v>395663.58</v>
      </c>
      <c r="L21" s="25"/>
      <c r="M21" s="24"/>
    </row>
    <row r="22" spans="1:13" ht="12.75">
      <c r="A22" s="95" t="s">
        <v>126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5"/>
      <c r="M22" s="24"/>
    </row>
    <row r="23" spans="1:13" ht="12.75">
      <c r="A23" s="25" t="s">
        <v>127</v>
      </c>
      <c r="B23" s="22">
        <v>1</v>
      </c>
      <c r="C23" s="23">
        <v>12000</v>
      </c>
      <c r="D23" s="23">
        <f aca="true" t="shared" si="7" ref="D23:D34">B23*C23</f>
        <v>12000</v>
      </c>
      <c r="E23" s="23">
        <f>D23*0.3</f>
        <v>3600</v>
      </c>
      <c r="F23" s="23">
        <f aca="true" t="shared" si="8" ref="F23:F34">SUM(D23:E23)</f>
        <v>15600</v>
      </c>
      <c r="G23" s="23">
        <f aca="true" t="shared" si="9" ref="G23:G38">F23*0.15</f>
        <v>2340</v>
      </c>
      <c r="H23" s="23">
        <f aca="true" t="shared" si="10" ref="H23:H28">F23*0.262</f>
        <v>4087.2000000000003</v>
      </c>
      <c r="I23" s="23">
        <f aca="true" t="shared" si="11" ref="I23:I34">SUM(F23:H23)/12</f>
        <v>1835.6000000000001</v>
      </c>
      <c r="J23" s="23">
        <f aca="true" t="shared" si="12" ref="J23:J34">SUM(F23:I23)</f>
        <v>23862.8</v>
      </c>
      <c r="K23" s="23">
        <f aca="true" t="shared" si="13" ref="K23:K39">J23*12</f>
        <v>286353.6</v>
      </c>
      <c r="L23" s="25" t="s">
        <v>133</v>
      </c>
      <c r="M23" s="24"/>
    </row>
    <row r="24" spans="1:13" ht="25.5">
      <c r="A24" s="25" t="s">
        <v>149</v>
      </c>
      <c r="B24" s="22">
        <v>0.5</v>
      </c>
      <c r="C24" s="23">
        <v>11000</v>
      </c>
      <c r="D24" s="23">
        <f t="shared" si="7"/>
        <v>5500</v>
      </c>
      <c r="E24" s="23">
        <f aca="true" t="shared" si="14" ref="E24:E34">D24*0.3</f>
        <v>1650</v>
      </c>
      <c r="F24" s="23">
        <f t="shared" si="8"/>
        <v>7150</v>
      </c>
      <c r="G24" s="23">
        <f t="shared" si="9"/>
        <v>1072.5</v>
      </c>
      <c r="H24" s="23">
        <f t="shared" si="10"/>
        <v>1873.3000000000002</v>
      </c>
      <c r="I24" s="23">
        <f t="shared" si="11"/>
        <v>841.3166666666666</v>
      </c>
      <c r="J24" s="23">
        <f t="shared" si="12"/>
        <v>10937.116666666665</v>
      </c>
      <c r="K24" s="23">
        <f t="shared" si="13"/>
        <v>131245.39999999997</v>
      </c>
      <c r="L24" s="25" t="s">
        <v>79</v>
      </c>
      <c r="M24" s="24" t="s">
        <v>83</v>
      </c>
    </row>
    <row r="25" spans="1:13" ht="12.75">
      <c r="A25" s="25" t="s">
        <v>130</v>
      </c>
      <c r="B25" s="22">
        <v>0.1</v>
      </c>
      <c r="C25" s="23">
        <v>15000</v>
      </c>
      <c r="D25" s="23">
        <f t="shared" si="7"/>
        <v>1500</v>
      </c>
      <c r="E25" s="23">
        <f t="shared" si="14"/>
        <v>450</v>
      </c>
      <c r="F25" s="23">
        <f t="shared" si="8"/>
        <v>1950</v>
      </c>
      <c r="G25" s="23">
        <f t="shared" si="9"/>
        <v>292.5</v>
      </c>
      <c r="H25" s="23">
        <f t="shared" si="10"/>
        <v>510.90000000000003</v>
      </c>
      <c r="I25" s="23">
        <f t="shared" si="11"/>
        <v>229.45000000000002</v>
      </c>
      <c r="J25" s="23">
        <f t="shared" si="12"/>
        <v>2982.85</v>
      </c>
      <c r="K25" s="23">
        <f t="shared" si="13"/>
        <v>35794.2</v>
      </c>
      <c r="L25" s="25" t="s">
        <v>181</v>
      </c>
      <c r="M25" s="24"/>
    </row>
    <row r="26" spans="1:13" ht="12.75">
      <c r="A26" s="25" t="s">
        <v>129</v>
      </c>
      <c r="B26" s="22">
        <v>1</v>
      </c>
      <c r="C26" s="23">
        <v>13500</v>
      </c>
      <c r="D26" s="23">
        <f t="shared" si="7"/>
        <v>13500</v>
      </c>
      <c r="E26" s="23">
        <f t="shared" si="14"/>
        <v>4050</v>
      </c>
      <c r="F26" s="23">
        <f t="shared" si="8"/>
        <v>17550</v>
      </c>
      <c r="G26" s="23">
        <f t="shared" si="9"/>
        <v>2632.5</v>
      </c>
      <c r="H26" s="23">
        <f t="shared" si="10"/>
        <v>4598.1</v>
      </c>
      <c r="I26" s="23">
        <f t="shared" si="11"/>
        <v>2065.0499999999997</v>
      </c>
      <c r="J26" s="23">
        <f t="shared" si="12"/>
        <v>26845.649999999998</v>
      </c>
      <c r="K26" s="23">
        <f t="shared" si="13"/>
        <v>322147.8</v>
      </c>
      <c r="L26" s="25" t="s">
        <v>182</v>
      </c>
      <c r="M26" s="24"/>
    </row>
    <row r="27" spans="1:13" ht="12.75">
      <c r="A27" s="25" t="s">
        <v>131</v>
      </c>
      <c r="B27" s="22">
        <v>0.5</v>
      </c>
      <c r="C27" s="23">
        <v>5000</v>
      </c>
      <c r="D27" s="23">
        <f t="shared" si="7"/>
        <v>2500</v>
      </c>
      <c r="E27" s="23">
        <f t="shared" si="14"/>
        <v>750</v>
      </c>
      <c r="F27" s="23">
        <f t="shared" si="8"/>
        <v>3250</v>
      </c>
      <c r="G27" s="23">
        <f t="shared" si="9"/>
        <v>487.5</v>
      </c>
      <c r="H27" s="23">
        <f t="shared" si="10"/>
        <v>851.5</v>
      </c>
      <c r="I27" s="23">
        <f t="shared" si="11"/>
        <v>382.4166666666667</v>
      </c>
      <c r="J27" s="23">
        <f t="shared" si="12"/>
        <v>4971.416666666667</v>
      </c>
      <c r="K27" s="23">
        <f t="shared" si="13"/>
        <v>59657</v>
      </c>
      <c r="L27" s="25" t="s">
        <v>195</v>
      </c>
      <c r="M27" s="24"/>
    </row>
    <row r="28" spans="1:13" ht="12.75">
      <c r="A28" s="25" t="s">
        <v>145</v>
      </c>
      <c r="B28" s="22">
        <v>0.5</v>
      </c>
      <c r="C28" s="23">
        <v>10000</v>
      </c>
      <c r="D28" s="23">
        <f>B28*C28</f>
        <v>5000</v>
      </c>
      <c r="E28" s="23"/>
      <c r="F28" s="23">
        <f>SUM(D28:E28)</f>
        <v>5000</v>
      </c>
      <c r="G28" s="23">
        <f>F28*0.15</f>
        <v>750</v>
      </c>
      <c r="H28" s="23">
        <f t="shared" si="10"/>
        <v>1310</v>
      </c>
      <c r="I28" s="23">
        <f>SUM(F28:H28)/12</f>
        <v>588.3333333333334</v>
      </c>
      <c r="J28" s="23">
        <f>SUM(F28:I28)</f>
        <v>7648.333333333333</v>
      </c>
      <c r="K28" s="23">
        <f>J28*12</f>
        <v>91780</v>
      </c>
      <c r="L28" s="25" t="s">
        <v>133</v>
      </c>
      <c r="M28" s="24" t="s">
        <v>83</v>
      </c>
    </row>
    <row r="29" spans="1:13" ht="12.75">
      <c r="A29" s="25"/>
      <c r="B29" s="22"/>
      <c r="C29" s="23"/>
      <c r="D29" s="23"/>
      <c r="E29" s="23"/>
      <c r="F29" s="23"/>
      <c r="G29" s="23"/>
      <c r="H29" s="23"/>
      <c r="I29" s="23"/>
      <c r="J29" s="23"/>
      <c r="K29" s="82">
        <f>SUM(K23:K28)</f>
        <v>926978</v>
      </c>
      <c r="L29" s="25"/>
      <c r="M29" s="24"/>
    </row>
    <row r="30" spans="1:13" ht="12.75">
      <c r="A30" s="95" t="s">
        <v>156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5"/>
      <c r="M30" s="24"/>
    </row>
    <row r="31" spans="1:13" ht="25.5">
      <c r="A31" s="25" t="s">
        <v>132</v>
      </c>
      <c r="B31" s="22">
        <v>0.25</v>
      </c>
      <c r="C31" s="23">
        <v>8000</v>
      </c>
      <c r="D31" s="23">
        <f t="shared" si="7"/>
        <v>2000</v>
      </c>
      <c r="E31" s="23"/>
      <c r="F31" s="23">
        <f t="shared" si="8"/>
        <v>2000</v>
      </c>
      <c r="G31" s="23">
        <f t="shared" si="9"/>
        <v>300</v>
      </c>
      <c r="H31" s="23">
        <f>F31*0.262</f>
        <v>524</v>
      </c>
      <c r="I31" s="23">
        <f t="shared" si="11"/>
        <v>235.33333333333334</v>
      </c>
      <c r="J31" s="23">
        <f t="shared" si="12"/>
        <v>3059.3333333333335</v>
      </c>
      <c r="K31" s="23">
        <f t="shared" si="13"/>
        <v>36712</v>
      </c>
      <c r="L31" s="25" t="s">
        <v>183</v>
      </c>
      <c r="M31" s="24"/>
    </row>
    <row r="32" spans="1:13" ht="25.5">
      <c r="A32" s="25" t="s">
        <v>132</v>
      </c>
      <c r="B32" s="22">
        <v>0.25</v>
      </c>
      <c r="C32" s="23">
        <v>8000</v>
      </c>
      <c r="D32" s="23">
        <f t="shared" si="7"/>
        <v>2000</v>
      </c>
      <c r="E32" s="23"/>
      <c r="F32" s="23">
        <f t="shared" si="8"/>
        <v>2000</v>
      </c>
      <c r="G32" s="23">
        <f t="shared" si="9"/>
        <v>300</v>
      </c>
      <c r="H32" s="23">
        <f>F32*0.262</f>
        <v>524</v>
      </c>
      <c r="I32" s="23">
        <f t="shared" si="11"/>
        <v>235.33333333333334</v>
      </c>
      <c r="J32" s="23">
        <f t="shared" si="12"/>
        <v>3059.3333333333335</v>
      </c>
      <c r="K32" s="23">
        <f t="shared" si="13"/>
        <v>36712</v>
      </c>
      <c r="L32" s="25" t="s">
        <v>184</v>
      </c>
      <c r="M32" s="24"/>
    </row>
    <row r="33" spans="1:13" ht="25.5">
      <c r="A33" s="25" t="s">
        <v>132</v>
      </c>
      <c r="B33" s="22">
        <v>0.25</v>
      </c>
      <c r="C33" s="23">
        <v>8000</v>
      </c>
      <c r="D33" s="23">
        <f t="shared" si="7"/>
        <v>2000</v>
      </c>
      <c r="E33" s="23"/>
      <c r="F33" s="23">
        <f t="shared" si="8"/>
        <v>2000</v>
      </c>
      <c r="G33" s="23">
        <f t="shared" si="9"/>
        <v>300</v>
      </c>
      <c r="H33" s="23">
        <f>F33*0.262</f>
        <v>524</v>
      </c>
      <c r="I33" s="23">
        <f t="shared" si="11"/>
        <v>235.33333333333334</v>
      </c>
      <c r="J33" s="23">
        <f t="shared" si="12"/>
        <v>3059.3333333333335</v>
      </c>
      <c r="K33" s="23">
        <f t="shared" si="13"/>
        <v>36712</v>
      </c>
      <c r="L33" s="25" t="s">
        <v>185</v>
      </c>
      <c r="M33" s="24"/>
    </row>
    <row r="34" spans="1:13" ht="25.5">
      <c r="A34" s="25" t="s">
        <v>132</v>
      </c>
      <c r="B34" s="22"/>
      <c r="C34" s="23">
        <v>8000</v>
      </c>
      <c r="D34" s="23">
        <f t="shared" si="7"/>
        <v>0</v>
      </c>
      <c r="E34" s="23">
        <f t="shared" si="14"/>
        <v>0</v>
      </c>
      <c r="F34" s="23">
        <f t="shared" si="8"/>
        <v>0</v>
      </c>
      <c r="G34" s="23">
        <f t="shared" si="9"/>
        <v>0</v>
      </c>
      <c r="H34" s="23">
        <f>F34*0.262</f>
        <v>0</v>
      </c>
      <c r="I34" s="23">
        <f t="shared" si="11"/>
        <v>0</v>
      </c>
      <c r="J34" s="23">
        <f t="shared" si="12"/>
        <v>0</v>
      </c>
      <c r="K34" s="23">
        <f t="shared" si="13"/>
        <v>0</v>
      </c>
      <c r="L34" s="25"/>
      <c r="M34" s="24"/>
    </row>
    <row r="35" spans="1:13" ht="12.75">
      <c r="A35" s="25"/>
      <c r="B35" s="22"/>
      <c r="C35" s="23"/>
      <c r="D35" s="23"/>
      <c r="E35" s="23"/>
      <c r="F35" s="23"/>
      <c r="G35" s="23"/>
      <c r="H35" s="23"/>
      <c r="I35" s="23"/>
      <c r="J35" s="23"/>
      <c r="K35" s="82">
        <f>SUM(K31:K34)</f>
        <v>110136</v>
      </c>
      <c r="L35" s="25"/>
      <c r="M35" s="24"/>
    </row>
    <row r="36" spans="1:13" ht="12.75">
      <c r="A36" s="25"/>
      <c r="B36" s="22"/>
      <c r="C36" s="23"/>
      <c r="D36" s="23"/>
      <c r="E36" s="23"/>
      <c r="F36" s="23"/>
      <c r="G36" s="23"/>
      <c r="H36" s="23"/>
      <c r="I36" s="23"/>
      <c r="J36" s="23"/>
      <c r="K36" s="2"/>
      <c r="L36" s="2"/>
      <c r="M36" s="24"/>
    </row>
    <row r="37" spans="1:13" ht="12.75">
      <c r="A37" s="25" t="s">
        <v>47</v>
      </c>
      <c r="B37" s="22">
        <v>1</v>
      </c>
      <c r="C37" s="23">
        <v>9000</v>
      </c>
      <c r="D37" s="23">
        <f>B37*C37</f>
        <v>9000</v>
      </c>
      <c r="E37" s="23">
        <f>D37*0.3</f>
        <v>2700</v>
      </c>
      <c r="F37" s="23">
        <f>SUM(D37:E37)</f>
        <v>11700</v>
      </c>
      <c r="G37" s="23">
        <f t="shared" si="9"/>
        <v>1755</v>
      </c>
      <c r="H37" s="23">
        <f>F37*0.262</f>
        <v>3065.4</v>
      </c>
      <c r="I37" s="23">
        <f>SUM(F37:H37)/12</f>
        <v>1376.7</v>
      </c>
      <c r="J37" s="23">
        <f>SUM(F37:I37)</f>
        <v>17897.100000000002</v>
      </c>
      <c r="K37" s="23">
        <f t="shared" si="13"/>
        <v>214765.2</v>
      </c>
      <c r="L37" s="2" t="s">
        <v>134</v>
      </c>
      <c r="M37" s="24"/>
    </row>
    <row r="38" spans="1:13" ht="12.75">
      <c r="A38" s="25" t="s">
        <v>138</v>
      </c>
      <c r="B38" s="22">
        <v>0.75</v>
      </c>
      <c r="C38" s="23">
        <v>10500</v>
      </c>
      <c r="D38" s="23">
        <f>B38*C38</f>
        <v>7875</v>
      </c>
      <c r="E38" s="23">
        <f>D38*0.3</f>
        <v>2362.5</v>
      </c>
      <c r="F38" s="23">
        <f>SUM(D38:E38)</f>
        <v>10237.5</v>
      </c>
      <c r="G38" s="23">
        <f t="shared" si="9"/>
        <v>1535.625</v>
      </c>
      <c r="H38" s="23">
        <f>F38*0.262</f>
        <v>2682.225</v>
      </c>
      <c r="I38" s="23">
        <f>SUM(F38:H38)/12</f>
        <v>1204.6125</v>
      </c>
      <c r="J38" s="23">
        <f>SUM(F38:I38)</f>
        <v>15659.9625</v>
      </c>
      <c r="K38" s="23">
        <f t="shared" si="13"/>
        <v>187919.55</v>
      </c>
      <c r="L38" s="2" t="s">
        <v>134</v>
      </c>
      <c r="M38" s="24" t="s">
        <v>83</v>
      </c>
    </row>
    <row r="39" spans="1:13" ht="12.75">
      <c r="A39" s="25" t="s">
        <v>138</v>
      </c>
      <c r="B39" s="22">
        <v>0.25</v>
      </c>
      <c r="C39" s="23">
        <v>10500</v>
      </c>
      <c r="D39" s="23">
        <f>B39*C39</f>
        <v>2625</v>
      </c>
      <c r="E39" s="23">
        <f>D39*0.3</f>
        <v>787.5</v>
      </c>
      <c r="F39" s="23">
        <f>SUM(D39:E39)</f>
        <v>3412.5</v>
      </c>
      <c r="G39" s="23">
        <f>F39*0.15</f>
        <v>511.875</v>
      </c>
      <c r="H39" s="23">
        <f>F39*0.262</f>
        <v>894.075</v>
      </c>
      <c r="I39" s="23">
        <f>SUM(F39:H39)/12</f>
        <v>401.53749999999997</v>
      </c>
      <c r="J39" s="23">
        <f>SUM(F39:I39)</f>
        <v>5219.9875</v>
      </c>
      <c r="K39" s="23">
        <f t="shared" si="13"/>
        <v>62639.850000000006</v>
      </c>
      <c r="L39" s="2" t="s">
        <v>135</v>
      </c>
      <c r="M39" s="24"/>
    </row>
    <row r="40" spans="1:13" ht="12.75">
      <c r="A40" s="27" t="s">
        <v>13</v>
      </c>
      <c r="B40" s="28">
        <f>SUM(B9:B39)</f>
        <v>7.35</v>
      </c>
      <c r="C40" s="28"/>
      <c r="D40" s="29">
        <f>SUM(D9:D39)</f>
        <v>84205</v>
      </c>
      <c r="E40" s="29"/>
      <c r="F40" s="29">
        <f>SUM(F9:F39)</f>
        <v>103405</v>
      </c>
      <c r="G40" s="29">
        <f>SUM(G9:G39)</f>
        <v>15510.75</v>
      </c>
      <c r="H40" s="29">
        <f>SUM(H9:H39)</f>
        <v>27092.11</v>
      </c>
      <c r="I40" s="29">
        <f>SUM(I9:I39)</f>
        <v>12167.321666666669</v>
      </c>
      <c r="J40" s="29">
        <f>SUM(J9:J39)</f>
        <v>158175.18166666664</v>
      </c>
      <c r="K40" s="29">
        <f>SUM(K37:K39)</f>
        <v>465324.6</v>
      </c>
      <c r="L40" s="26"/>
      <c r="M40" s="26"/>
    </row>
    <row r="42" spans="1:11" ht="12.75">
      <c r="A42" t="s">
        <v>17</v>
      </c>
      <c r="E42" s="30"/>
      <c r="F42" s="30">
        <f>F40*0.15</f>
        <v>15510.75</v>
      </c>
      <c r="G42" s="30"/>
      <c r="H42" s="30"/>
      <c r="I42" s="30"/>
      <c r="J42" s="30"/>
      <c r="K42" s="30">
        <f>K21+K35+K40+K29</f>
        <v>1898102.18</v>
      </c>
    </row>
    <row r="43" spans="1:11" ht="12.75">
      <c r="A43" t="s">
        <v>207</v>
      </c>
      <c r="E43" s="30"/>
      <c r="F43" s="30">
        <f>F40*0.262</f>
        <v>27092.11</v>
      </c>
      <c r="G43" s="30"/>
      <c r="H43" s="30"/>
      <c r="I43" s="30"/>
      <c r="J43" s="30"/>
      <c r="K43" s="30"/>
    </row>
    <row r="44" spans="1:11" ht="12.75">
      <c r="A44" s="40" t="s">
        <v>15</v>
      </c>
      <c r="E44" s="39"/>
      <c r="F44" s="39">
        <f>SUM(F40:F43)</f>
        <v>146007.86</v>
      </c>
      <c r="G44" s="39"/>
      <c r="H44" s="39"/>
      <c r="I44" s="39"/>
      <c r="J44" s="39"/>
      <c r="K44" s="39"/>
    </row>
    <row r="45" spans="1:11" ht="12.75">
      <c r="A45" s="40" t="s">
        <v>107</v>
      </c>
      <c r="E45" s="39"/>
      <c r="F45" s="39">
        <f>F44+F44/12</f>
        <v>158175.18166666664</v>
      </c>
      <c r="G45" s="39"/>
      <c r="H45" s="39"/>
      <c r="I45" s="39"/>
      <c r="J45" s="39"/>
      <c r="K45" s="39"/>
    </row>
    <row r="46" spans="1:11" ht="12.75">
      <c r="A46" s="8" t="s">
        <v>32</v>
      </c>
      <c r="E46" s="39"/>
      <c r="F46" s="39">
        <f>F45*12</f>
        <v>1898102.1799999997</v>
      </c>
      <c r="G46" s="39"/>
      <c r="H46" s="39"/>
      <c r="I46" s="39"/>
      <c r="J46" s="39"/>
      <c r="K46" s="39"/>
    </row>
    <row r="50" ht="12.75">
      <c r="A50" s="75" t="s">
        <v>57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2"/>
  <sheetViews>
    <sheetView zoomScalePageLayoutView="0" workbookViewId="0" topLeftCell="A10">
      <selection activeCell="D24" sqref="D24"/>
    </sheetView>
  </sheetViews>
  <sheetFormatPr defaultColWidth="9.00390625" defaultRowHeight="12.75"/>
  <cols>
    <col min="1" max="1" width="38.00390625" style="0" customWidth="1"/>
    <col min="2" max="2" width="13.875" style="0" customWidth="1"/>
    <col min="4" max="4" width="18.75390625" style="0" customWidth="1"/>
  </cols>
  <sheetData>
    <row r="3" spans="1:4" ht="25.5">
      <c r="A3" s="2" t="s">
        <v>189</v>
      </c>
      <c r="B3" s="97" t="s">
        <v>186</v>
      </c>
      <c r="C3" s="97" t="s">
        <v>187</v>
      </c>
      <c r="D3" s="5" t="s">
        <v>190</v>
      </c>
    </row>
    <row r="4" spans="1:4" ht="12.75">
      <c r="A4" s="2" t="s">
        <v>191</v>
      </c>
      <c r="B4" s="97">
        <v>100</v>
      </c>
      <c r="C4" s="97">
        <v>100</v>
      </c>
      <c r="D4" s="97">
        <v>110</v>
      </c>
    </row>
    <row r="5" spans="1:4" ht="12.75">
      <c r="A5" s="2" t="s">
        <v>192</v>
      </c>
      <c r="B5" s="97">
        <f>B4*0.142</f>
        <v>14.2</v>
      </c>
      <c r="C5" s="97">
        <f>C4*0.262</f>
        <v>26.200000000000003</v>
      </c>
      <c r="D5" s="97">
        <f>D4*0.262</f>
        <v>28.82</v>
      </c>
    </row>
    <row r="6" spans="1:4" ht="12.75">
      <c r="A6" s="2" t="s">
        <v>81</v>
      </c>
      <c r="B6" s="97">
        <f>B4*0.15</f>
        <v>15</v>
      </c>
      <c r="C6" s="97">
        <f>C4*0.15</f>
        <v>15</v>
      </c>
      <c r="D6" s="97">
        <f>D4*0.15</f>
        <v>16.5</v>
      </c>
    </row>
    <row r="7" spans="1:4" ht="12.75">
      <c r="A7" s="2" t="s">
        <v>188</v>
      </c>
      <c r="B7" s="97">
        <f>SUM(B4:B6)</f>
        <v>129.2</v>
      </c>
      <c r="C7" s="97">
        <f>SUM(C4:C6)</f>
        <v>141.2</v>
      </c>
      <c r="D7" s="97">
        <f>SUM(D4:D6)</f>
        <v>155.32</v>
      </c>
    </row>
    <row r="8" spans="1:4" ht="12.75">
      <c r="A8" t="s">
        <v>193</v>
      </c>
      <c r="B8" s="98"/>
      <c r="C8" s="98">
        <f>C7/$B$7-1</f>
        <v>0.09287925696594423</v>
      </c>
      <c r="D8" s="98">
        <f>D7/$B$7-1</f>
        <v>0.20216718266253886</v>
      </c>
    </row>
    <row r="13" spans="1:3" ht="12.75">
      <c r="A13" s="124" t="s">
        <v>202</v>
      </c>
      <c r="B13" s="125" t="s">
        <v>208</v>
      </c>
      <c r="C13" s="99"/>
    </row>
    <row r="14" spans="1:3" ht="12.75">
      <c r="A14" s="124"/>
      <c r="B14" s="124"/>
      <c r="C14" s="99"/>
    </row>
    <row r="15" spans="1:3" ht="27" customHeight="1">
      <c r="A15" s="124"/>
      <c r="B15" s="124"/>
      <c r="C15" s="99"/>
    </row>
    <row r="16" spans="1:3" ht="12.75">
      <c r="A16" s="101">
        <f>365*7*450/12</f>
        <v>95812.5</v>
      </c>
      <c r="B16" s="101">
        <f>A16*1.412</f>
        <v>135287.25</v>
      </c>
      <c r="C16" s="99"/>
    </row>
    <row r="17" spans="1:3" ht="12.75">
      <c r="A17" s="102" t="s">
        <v>200</v>
      </c>
      <c r="B17" s="101">
        <f>'смета 2011'!D9</f>
        <v>15119</v>
      </c>
      <c r="C17" s="99"/>
    </row>
    <row r="18" spans="1:2" ht="12.75">
      <c r="A18" s="103" t="s">
        <v>196</v>
      </c>
      <c r="B18" s="104">
        <f>ROUND(B16/B17,1)</f>
        <v>8.9</v>
      </c>
    </row>
    <row r="20" spans="1:2" ht="12.75">
      <c r="A20" s="124" t="s">
        <v>220</v>
      </c>
      <c r="B20" s="126">
        <f>80*31*24</f>
        <v>59520</v>
      </c>
    </row>
    <row r="21" spans="1:2" ht="12.75">
      <c r="A21" s="124"/>
      <c r="B21" s="126"/>
    </row>
    <row r="22" spans="1:2" ht="12.75">
      <c r="A22" s="124"/>
      <c r="B22" s="126"/>
    </row>
    <row r="23" spans="1:2" ht="25.5">
      <c r="A23" s="103" t="s">
        <v>197</v>
      </c>
      <c r="B23" s="105">
        <f>ROUND(B20/B17,0)</f>
        <v>4</v>
      </c>
    </row>
    <row r="25" spans="1:2" ht="38.25">
      <c r="A25" s="110" t="s">
        <v>199</v>
      </c>
      <c r="B25" s="111">
        <f>SUM(B26:B29)</f>
        <v>1284485</v>
      </c>
    </row>
    <row r="26" spans="1:2" ht="12.75">
      <c r="A26" s="109" t="s">
        <v>223</v>
      </c>
      <c r="B26" s="101">
        <v>725705</v>
      </c>
    </row>
    <row r="27" spans="1:2" ht="12.75">
      <c r="A27" s="109" t="s">
        <v>221</v>
      </c>
      <c r="B27" s="101">
        <v>247614</v>
      </c>
    </row>
    <row r="28" spans="1:2" ht="12.75">
      <c r="A28" s="109" t="s">
        <v>222</v>
      </c>
      <c r="B28" s="101">
        <v>250000</v>
      </c>
    </row>
    <row r="29" spans="1:2" ht="25.5">
      <c r="A29" s="109" t="s">
        <v>224</v>
      </c>
      <c r="B29" s="101">
        <f>ROUND(SUM(B26:B28)*0.05,0)</f>
        <v>61166</v>
      </c>
    </row>
    <row r="30" spans="1:2" ht="25.5">
      <c r="A30" s="106" t="s">
        <v>201</v>
      </c>
      <c r="B30" s="101">
        <f>'смета 2011'!D12</f>
        <v>18428.8</v>
      </c>
    </row>
    <row r="31" spans="1:2" ht="38.25">
      <c r="A31" s="103" t="s">
        <v>198</v>
      </c>
      <c r="B31" s="104">
        <f>ROUND(B25/'смета 2011'!D12,0)</f>
        <v>70</v>
      </c>
    </row>
    <row r="32" ht="12.75">
      <c r="A32" s="100"/>
    </row>
  </sheetData>
  <sheetProtection/>
  <mergeCells count="4">
    <mergeCell ref="A13:A15"/>
    <mergeCell ref="B13:B15"/>
    <mergeCell ref="A20:A22"/>
    <mergeCell ref="B20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 Губернский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</dc:creator>
  <cp:keywords/>
  <dc:description/>
  <cp:lastModifiedBy>0305_buh5</cp:lastModifiedBy>
  <cp:lastPrinted>2011-06-07T15:08:06Z</cp:lastPrinted>
  <dcterms:created xsi:type="dcterms:W3CDTF">2007-08-12T06:39:12Z</dcterms:created>
  <dcterms:modified xsi:type="dcterms:W3CDTF">2011-06-07T15:08:14Z</dcterms:modified>
  <cp:category/>
  <cp:version/>
  <cp:contentType/>
  <cp:contentStatus/>
</cp:coreProperties>
</file>