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мета 2013" sheetId="1" r:id="rId1"/>
    <sheet name="штатное " sheetId="2" r:id="rId2"/>
  </sheets>
  <definedNames>
    <definedName name="_xlnm.Print_Titles" localSheetId="0">'смета 2013'!$19:$21</definedName>
  </definedNames>
  <calcPr fullCalcOnLoad="1"/>
</workbook>
</file>

<file path=xl/sharedStrings.xml><?xml version="1.0" encoding="utf-8"?>
<sst xmlns="http://schemas.openxmlformats.org/spreadsheetml/2006/main" count="289" uniqueCount="235">
  <si>
    <t>№ п/п</t>
  </si>
  <si>
    <t>Статьи доходов и расходов</t>
  </si>
  <si>
    <t>Плата за содержание и ремонт общего имущества в доме</t>
  </si>
  <si>
    <t>Доходы от сдачи в аренду общего имущества ТСЖ</t>
  </si>
  <si>
    <t>ИТОГО ДОХОДОВ:</t>
  </si>
  <si>
    <t>ДОХОДЫ</t>
  </si>
  <si>
    <t>РАСХОДЫ</t>
  </si>
  <si>
    <t>Административно-управленческие расходы ТСЖ, в том числе:</t>
  </si>
  <si>
    <t>УТВЕРЖДЕНО:</t>
  </si>
  <si>
    <t>ИТОГО РАСХОДОВ:</t>
  </si>
  <si>
    <t>ПРОФЕССИЯ (ДОЛЖНОСТЬ)</t>
  </si>
  <si>
    <t>ОКЛАД по штату (в руб.)</t>
  </si>
  <si>
    <t>Примечание</t>
  </si>
  <si>
    <t>Итого:</t>
  </si>
  <si>
    <t>Председатель Правления</t>
  </si>
  <si>
    <t>ИТОГО на оплату труда:</t>
  </si>
  <si>
    <t>Зарплата по штату (в руб.)</t>
  </si>
  <si>
    <t>РК 15 %</t>
  </si>
  <si>
    <t>Справочная информация</t>
  </si>
  <si>
    <t>Кол-во</t>
  </si>
  <si>
    <t>% к общей площади</t>
  </si>
  <si>
    <t>Количество лифтов,шт.</t>
  </si>
  <si>
    <t>Количество подъездов, шт.</t>
  </si>
  <si>
    <t>Количество квартир, шт.</t>
  </si>
  <si>
    <t>Количество офисов, шт.</t>
  </si>
  <si>
    <t>Площадь жилых помещений, кв.м.</t>
  </si>
  <si>
    <t>Площадь офисов, кв.м.</t>
  </si>
  <si>
    <t>Площадь гаражных боксов, кв.м.</t>
  </si>
  <si>
    <t>Количество гаражных боксов, шт.</t>
  </si>
  <si>
    <t>ИТОГО на оплату труда за год:</t>
  </si>
  <si>
    <t xml:space="preserve">Прочие поступления </t>
  </si>
  <si>
    <t>Сумма, руб.</t>
  </si>
  <si>
    <t>САЛЬДО ДОХОДОВ-РАСХОДОВ</t>
  </si>
  <si>
    <t>2.1.</t>
  </si>
  <si>
    <t>2.2.</t>
  </si>
  <si>
    <t>2.3.</t>
  </si>
  <si>
    <t>2.4.</t>
  </si>
  <si>
    <t>ИТОГО общая площадь, кв.м.:</t>
  </si>
  <si>
    <t>налог на УСН</t>
  </si>
  <si>
    <t>Дворник</t>
  </si>
  <si>
    <t>Резерв на отпуска, руб.</t>
  </si>
  <si>
    <t>техобслуживание лифтов (ООО "Лифтмонтаж-1")</t>
  </si>
  <si>
    <t>паспортное обслуживание (МУ УЖКХ Верх-Исетского района)</t>
  </si>
  <si>
    <t>в год</t>
  </si>
  <si>
    <t>в месяц</t>
  </si>
  <si>
    <t>Председатель Правления                                                 Карманов К.В.</t>
  </si>
  <si>
    <t>КОЛ-ВО ШТАТНЫХ ЕДИНИЦ (ставок)</t>
  </si>
  <si>
    <t>1.1.</t>
  </si>
  <si>
    <t>1.2.</t>
  </si>
  <si>
    <t>1.3.</t>
  </si>
  <si>
    <t>1.4.</t>
  </si>
  <si>
    <t>1.5.</t>
  </si>
  <si>
    <t>2.2.1.</t>
  </si>
  <si>
    <t>2.2.2.</t>
  </si>
  <si>
    <t>2.2.3.</t>
  </si>
  <si>
    <t>2.2.4.</t>
  </si>
  <si>
    <t>2.5.</t>
  </si>
  <si>
    <t>ФИО работника</t>
  </si>
  <si>
    <t>РК 15 %, руб.</t>
  </si>
  <si>
    <t>совм.</t>
  </si>
  <si>
    <t>Итого начислено</t>
  </si>
  <si>
    <t>Итого расходов на персонал, руб.</t>
  </si>
  <si>
    <t>фонд оплаты труда работников+ЕСН+РК (дворник, уборщицы)</t>
  </si>
  <si>
    <t>В том числе</t>
  </si>
  <si>
    <t>гараж</t>
  </si>
  <si>
    <t>тариф, руб./кв.м.</t>
  </si>
  <si>
    <t>санитарная обработка подвалов (ОАО "Екатеринбургская дезинфекционная станция")</t>
  </si>
  <si>
    <t>в год, руб</t>
  </si>
  <si>
    <t>в год, руб.</t>
  </si>
  <si>
    <t>почтовые расходы</t>
  </si>
  <si>
    <t>семинары, обучение, обновление программного обеспечения</t>
  </si>
  <si>
    <t>поверка общедомовых приборов учета ТЭКОН, датчиков</t>
  </si>
  <si>
    <t>с учетом отпускных</t>
  </si>
  <si>
    <t>приобретение электрозапчастей и ламп</t>
  </si>
  <si>
    <t>2.2.5.</t>
  </si>
  <si>
    <t>2.2.6.</t>
  </si>
  <si>
    <t>2.2.7.</t>
  </si>
  <si>
    <t>Итого расходов на персонал, руб. в год</t>
  </si>
  <si>
    <t>уборка механизированных способом и вывоз снега</t>
  </si>
  <si>
    <t>квартиры, офисы</t>
  </si>
  <si>
    <t xml:space="preserve">СМЕТА ДОХОДОВ И РАСХОДОВ </t>
  </si>
  <si>
    <t>Администрация</t>
  </si>
  <si>
    <t>Главный бухгалтер</t>
  </si>
  <si>
    <t>Служба эксплуатации</t>
  </si>
  <si>
    <t>Управляющий имуществом</t>
  </si>
  <si>
    <t>Член Правления</t>
  </si>
  <si>
    <t>Слесарь-сантехник</t>
  </si>
  <si>
    <t>Электромонтер дежурный</t>
  </si>
  <si>
    <t>Слесарь-сантехник дежурный</t>
  </si>
  <si>
    <t>Оператор лифтовой диспетчерской связи</t>
  </si>
  <si>
    <t>Двойнишников А.Г.</t>
  </si>
  <si>
    <t>Инженер по ТБ</t>
  </si>
  <si>
    <t>Делопроизводитель</t>
  </si>
  <si>
    <t>Слесарь-ремонтник-плотник</t>
  </si>
  <si>
    <t>Энергетик-электромонтер (ответственный за эл/хозяйство)</t>
  </si>
  <si>
    <t>2.2.8.</t>
  </si>
  <si>
    <t>2.2.9.</t>
  </si>
  <si>
    <t>2.2.10.</t>
  </si>
  <si>
    <t>компенсация транспортных расходов</t>
  </si>
  <si>
    <t>Диспетчеры</t>
  </si>
  <si>
    <t>диспетчерское обслуживание (оплата диспетчеров, аренда помещения)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</si>
  <si>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</si>
  <si>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</si>
  <si>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</si>
  <si>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</si>
  <si>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</si>
  <si>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</si>
  <si>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</si>
  <si>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</si>
  <si>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</si>
  <si>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</si>
  <si>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2.2.11.</t>
  </si>
  <si>
    <t>2.2.12.</t>
  </si>
  <si>
    <t>2.2.14.</t>
  </si>
  <si>
    <t>Карманов К.В.</t>
  </si>
  <si>
    <t>Ленский Д.В.</t>
  </si>
  <si>
    <t>Зеленый В.А.</t>
  </si>
  <si>
    <t>Новицкая Е.Н.</t>
  </si>
  <si>
    <t>Хохлова Т.А.</t>
  </si>
  <si>
    <t>техническое обслуживание общедомовых приборов учета тепловой энергии (ООО "Интерэнерго")</t>
  </si>
  <si>
    <t>аудиторские услуги</t>
  </si>
  <si>
    <t>обслуживание и настройка автоматики ИТП, насосных станций (ООО "Теплобаланс")</t>
  </si>
  <si>
    <t>Ларин А.В.</t>
  </si>
  <si>
    <t>Мерцалова И.А.</t>
  </si>
  <si>
    <t>Плещёва И.В.</t>
  </si>
  <si>
    <t>обслуживание и ремонт домофонов (ООО "Связь Экспресс")</t>
  </si>
  <si>
    <t>2.1.11.</t>
  </si>
  <si>
    <t>2.1.12.</t>
  </si>
  <si>
    <t>уборка пола гаража промышленным пылесосом (1 раз в квартал)</t>
  </si>
  <si>
    <t>расчетно-кассовое обслуживание в банке (Екатеринбургский филиал ОАО "Росгосстрахбанк"), ЕРЦ</t>
  </si>
  <si>
    <t>приобретение рабочей спецодежды</t>
  </si>
  <si>
    <t>замена эл/магн пускателей 6 шт. в электрощитовых (устранение шума и гула)</t>
  </si>
  <si>
    <t>приобретение запорной арматуры, запчастей, комплектующих, инструмента, хозинвентаря</t>
  </si>
  <si>
    <t>2.2.13.</t>
  </si>
  <si>
    <t>фонд оплаты труда работников+ЕСН+РК (АУП, бухгалтер)</t>
  </si>
  <si>
    <t>сварочные работы на общедомовых сетях (замена отводов от стояков в квартирах, замена трубных соединений стояков с магистралью, замена участков труб в ИТП, ликвидация свищей, замена запорной арматуры)</t>
  </si>
  <si>
    <t>страхование лифтов, ответственности ТСЖ за возможный ущерб от аварий</t>
  </si>
  <si>
    <t>пост. договор</t>
  </si>
  <si>
    <t>штатное</t>
  </si>
  <si>
    <t>по факту за 2011 г.</t>
  </si>
  <si>
    <t>при условии реконструкции</t>
  </si>
  <si>
    <t>дефектовка ООО "СТЭМ"</t>
  </si>
  <si>
    <t>Протокол Правления № ____-2012/П</t>
  </si>
  <si>
    <t>от ________.2012 г.</t>
  </si>
  <si>
    <t>Премия 30 %, руб.</t>
  </si>
  <si>
    <t>ЕСН 20,2 %</t>
  </si>
  <si>
    <t>ЕСН 20,2 %, руб.</t>
  </si>
  <si>
    <t>вывоз твердых бытовых отходов (ООО "Эковывоз")</t>
  </si>
  <si>
    <t>ТСЖ "ТАТИЩЕВА,92" на 2013 год.</t>
  </si>
  <si>
    <t>Рябкова Е.В.</t>
  </si>
  <si>
    <t>возмещение затрат на произведенный косметический ремонт первых этажей 4-х подъездов</t>
  </si>
  <si>
    <t>по факту за 2012 г.</t>
  </si>
  <si>
    <t>ПРОЕКТ</t>
  </si>
  <si>
    <t xml:space="preserve"> Штатное расписание ТСЖ "Татищева,92" на 2013 год.</t>
  </si>
  <si>
    <t>обслуживание системы ОПС, дымоудаления дома (ООО "СТЭМ")</t>
  </si>
  <si>
    <t>обслуживание системы вентиляции-газозащиты (гараж) (ООО "СТЭМ")</t>
  </si>
  <si>
    <t>обслуживание автоматики ОПС, пожаротушения и сигнализации СО (гараж) (ООО "СТЭМ")</t>
  </si>
  <si>
    <t>2.1.13.</t>
  </si>
  <si>
    <t>2.1.14.</t>
  </si>
  <si>
    <t>интернет (ООО "ИНСИС")</t>
  </si>
  <si>
    <t>мобильная связь МТС (городской номер ТСЖ)</t>
  </si>
  <si>
    <t>аренда зала для проведения общих собраний (ООО "ВИЗАВИ")</t>
  </si>
  <si>
    <t>Уборщица</t>
  </si>
  <si>
    <t>Коломоец Т.А.</t>
  </si>
  <si>
    <t>Мирахматов М.М.</t>
  </si>
  <si>
    <t>Булатов Д.А.</t>
  </si>
  <si>
    <t xml:space="preserve"> Эксплуатационные расходы на содержание и обслуживание общедомовых сетей, коммуникаций и конструкций</t>
  </si>
  <si>
    <t>фонд оплаты труда технического персонала+ЕСН+РК (служба эксплуатации - управляющий, электрики, слесари-сантехники)</t>
  </si>
  <si>
    <t>расходы на юридические услуги</t>
  </si>
  <si>
    <t>приобретение оборудования, запчастей, расходных материалов</t>
  </si>
  <si>
    <t>покупка контрольно-измерительных приборов, датчиков</t>
  </si>
  <si>
    <t>промывка теплообменников систем ГВС и отопления (ООО "ТАЭН)</t>
  </si>
  <si>
    <t>поддержание надлежащего санитарного состояния мест общего пользования и придомовой территории</t>
  </si>
  <si>
    <t>канцелярские расходы, расходные материалы для оргтехники (бумага, заправка картриджей)</t>
  </si>
  <si>
    <t>обслуживание системы телеметрии ИПУ (ООО "Интерэнерго")</t>
  </si>
  <si>
    <t>техосвидетельствование лифтов (ООО ИЦ "Союзлифтмонтаж")</t>
  </si>
  <si>
    <t>установка фиксаторов проветривания на окна подъездов</t>
  </si>
  <si>
    <t>покупка ЛКМ и расходных материалов для окраски конструкций во дворе</t>
  </si>
  <si>
    <t>изготовление и установка ограждения газонов со стороны аптеки и с торца дома у 7-го подъезда</t>
  </si>
  <si>
    <t>ремонт привода автоматических ворот гаража</t>
  </si>
  <si>
    <t>Административно-управленческие расходы ТСЖ за вычетом доходов за размещение оборудования</t>
  </si>
  <si>
    <t>прайс отеля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</si>
  <si>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</si>
  <si>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</si>
  <si>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</si>
  <si>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</si>
  <si>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</si>
  <si>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</si>
  <si>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</si>
  <si>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</si>
  <si>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</si>
  <si>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</si>
  <si>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>2.2.25.</t>
  </si>
  <si>
    <t>2.2.26.</t>
  </si>
  <si>
    <t>2.2.27.</t>
  </si>
  <si>
    <t>завоз песка на детскую площадку</t>
  </si>
  <si>
    <t>Выполнение новых элементов благоустройства</t>
  </si>
  <si>
    <t>расходы на замену оборудования ( 2 насоса VILO в насосной станции 3-7 подъезд)</t>
  </si>
  <si>
    <t>2.3.1.</t>
  </si>
  <si>
    <t>2.3.2.</t>
  </si>
  <si>
    <t>2.3.3.</t>
  </si>
  <si>
    <t>Плановые ремонты общего имущества дома</t>
  </si>
  <si>
    <t>2.4.1.</t>
  </si>
  <si>
    <t>2.4.2.</t>
  </si>
  <si>
    <t>Экономия 2012 года</t>
  </si>
  <si>
    <t>Правление</t>
  </si>
  <si>
    <t>2.6.</t>
  </si>
  <si>
    <t>Вознаграждение членам Правления</t>
  </si>
  <si>
    <t xml:space="preserve"> ремонт участков кровли и (или) фасада</t>
  </si>
  <si>
    <t>Абрамов А.Б</t>
  </si>
  <si>
    <t>Гусева Т.В.</t>
  </si>
  <si>
    <t>Копытов Ю.Н.</t>
  </si>
  <si>
    <t>кв.11</t>
  </si>
  <si>
    <t>кв.134</t>
  </si>
  <si>
    <t>офис № 2</t>
  </si>
  <si>
    <t>Носов А.В.</t>
  </si>
  <si>
    <t>Паньков Е.А.</t>
  </si>
  <si>
    <t>Полетаев В.Г.</t>
  </si>
  <si>
    <t>Смирнов А.А.</t>
  </si>
  <si>
    <t>Снегирева Н.Н.</t>
  </si>
  <si>
    <t>кв. 104,105</t>
  </si>
  <si>
    <t>кв.125</t>
  </si>
  <si>
    <t>кв.185</t>
  </si>
  <si>
    <t>кв.175</t>
  </si>
  <si>
    <t>кв.170, гар. №43</t>
  </si>
  <si>
    <t>на управление, содержание и ремонт общедомового имущества</t>
  </si>
  <si>
    <t>базовая смета (обязательные расходы стр. 2.1.+ 2.2.+ 2.3.+ 2.5.)</t>
  </si>
  <si>
    <t>перечень работ по благоустройству (стр. 2.4.)</t>
  </si>
  <si>
    <t>установка дополнительного насоса для обеспечения напора воды на верхних этажах подъезды № 1, 2</t>
  </si>
  <si>
    <t>2.3.4.</t>
  </si>
  <si>
    <t>2.3.5.</t>
  </si>
  <si>
    <t>2.3.6.</t>
  </si>
  <si>
    <t>озеленение придомовой территории (завоз земли, вазоны, рассада, кустарники, работа по обустройству)</t>
  </si>
  <si>
    <t>Резервный фонд (ликвидация аварий, непредвиденные расходы)</t>
  </si>
  <si>
    <t>ремонт участков керамической плитки на лестничных площадках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</si>
</sst>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0.0000"/>
    <numFmt numFmtId="174" formatCode="0.000"/>
    <numFmt numFmtId="175" formatCode="#,##0.000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6" fontId="0" fillId="0" borderId="0" xfId="58" applyNumberFormat="1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1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Border="1" applyAlignment="1">
      <alignment/>
    </xf>
    <xf numFmtId="0" fontId="0" fillId="0" borderId="0" xfId="0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53" applyFont="1">
      <alignment/>
      <protection/>
    </xf>
    <xf numFmtId="165" fontId="0" fillId="0" borderId="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164" fontId="0" fillId="0" borderId="0" xfId="58" applyNumberFormat="1" applyFont="1" applyBorder="1" applyAlignment="1">
      <alignment horizontal="center"/>
    </xf>
    <xf numFmtId="166" fontId="0" fillId="0" borderId="0" xfId="58" applyNumberFormat="1" applyFont="1" applyAlignment="1">
      <alignment/>
    </xf>
    <xf numFmtId="4" fontId="2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166" fontId="0" fillId="0" borderId="0" xfId="58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6" fontId="0" fillId="0" borderId="0" xfId="58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165" fontId="4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 wrapText="1"/>
    </xf>
    <xf numFmtId="3" fontId="0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 wrapText="1"/>
    </xf>
    <xf numFmtId="1" fontId="0" fillId="0" borderId="12" xfId="0" applyNumberFormat="1" applyBorder="1" applyAlignment="1">
      <alignment horizontal="left"/>
    </xf>
    <xf numFmtId="0" fontId="0" fillId="0" borderId="12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right" wrapText="1"/>
    </xf>
    <xf numFmtId="4" fontId="0" fillId="0" borderId="13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0" fillId="0" borderId="0" xfId="58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6" fontId="0" fillId="0" borderId="10" xfId="58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85" zoomScaleNormal="85" zoomScalePageLayoutView="0" workbookViewId="0" topLeftCell="A1">
      <selection activeCell="L4" sqref="L4"/>
    </sheetView>
  </sheetViews>
  <sheetFormatPr defaultColWidth="9.00390625" defaultRowHeight="12.75"/>
  <cols>
    <col min="1" max="1" width="6.75390625" style="0" bestFit="1" customWidth="1"/>
    <col min="2" max="2" width="68.00390625" style="57" customWidth="1"/>
    <col min="3" max="3" width="10.625" style="0" customWidth="1"/>
    <col min="4" max="4" width="8.125" style="0" bestFit="1" customWidth="1"/>
    <col min="5" max="5" width="10.00390625" style="0" customWidth="1"/>
    <col min="6" max="6" width="7.75390625" style="0" hidden="1" customWidth="1"/>
    <col min="7" max="7" width="9.625" style="0" hidden="1" customWidth="1"/>
    <col min="8" max="8" width="9.375" style="0" hidden="1" customWidth="1"/>
    <col min="9" max="9" width="9.625" style="0" hidden="1" customWidth="1"/>
    <col min="10" max="10" width="14.00390625" style="57" customWidth="1"/>
  </cols>
  <sheetData>
    <row r="1" ht="12.75">
      <c r="I1" s="8" t="s">
        <v>8</v>
      </c>
    </row>
    <row r="2" ht="12.75">
      <c r="E2" s="96" t="s">
        <v>152</v>
      </c>
    </row>
    <row r="3" spans="2:9" ht="12.75">
      <c r="B3" s="58" t="s">
        <v>80</v>
      </c>
      <c r="I3" s="8" t="s">
        <v>142</v>
      </c>
    </row>
    <row r="4" spans="2:9" ht="12.75">
      <c r="B4" s="58" t="s">
        <v>225</v>
      </c>
      <c r="I4" s="8" t="s">
        <v>143</v>
      </c>
    </row>
    <row r="5" ht="12.75">
      <c r="B5" s="58" t="s">
        <v>148</v>
      </c>
    </row>
    <row r="7" ht="12.75">
      <c r="B7" s="58"/>
    </row>
    <row r="8" spans="1:10" ht="12.75">
      <c r="A8" s="5"/>
      <c r="B8" s="13" t="s">
        <v>18</v>
      </c>
      <c r="C8" s="15" t="s">
        <v>19</v>
      </c>
      <c r="D8" s="142" t="s">
        <v>20</v>
      </c>
      <c r="E8" s="142"/>
      <c r="F8" s="55"/>
      <c r="G8" s="55"/>
      <c r="H8" s="55"/>
      <c r="I8" s="55"/>
      <c r="J8" s="52"/>
    </row>
    <row r="9" spans="1:10" ht="12.75">
      <c r="A9" s="5">
        <v>1</v>
      </c>
      <c r="B9" s="13" t="s">
        <v>25</v>
      </c>
      <c r="C9" s="14">
        <v>15110</v>
      </c>
      <c r="D9" s="143">
        <f>C9/SUM($C$9:$C$11)</f>
        <v>0.8203485531244911</v>
      </c>
      <c r="E9" s="143"/>
      <c r="F9" s="41"/>
      <c r="G9" s="41"/>
      <c r="H9" s="41"/>
      <c r="I9" s="41"/>
      <c r="J9" s="75"/>
    </row>
    <row r="10" spans="1:10" ht="12.75">
      <c r="A10" s="5">
        <v>2</v>
      </c>
      <c r="B10" s="13" t="s">
        <v>26</v>
      </c>
      <c r="C10" s="14">
        <v>1855</v>
      </c>
      <c r="D10" s="143">
        <f>C10/SUM($C$9:$C$11)</f>
        <v>0.10071122210760627</v>
      </c>
      <c r="E10" s="143"/>
      <c r="F10" s="41"/>
      <c r="G10" s="41"/>
      <c r="H10" s="41"/>
      <c r="I10" s="41"/>
      <c r="J10" s="75"/>
    </row>
    <row r="11" spans="1:10" ht="12.75">
      <c r="A11" s="5">
        <v>3</v>
      </c>
      <c r="B11" s="13" t="s">
        <v>27</v>
      </c>
      <c r="C11" s="14">
        <v>1454</v>
      </c>
      <c r="D11" s="143">
        <f>C11/SUM($C$9:$C$11)</f>
        <v>0.0789402247679027</v>
      </c>
      <c r="E11" s="143"/>
      <c r="F11" s="41"/>
      <c r="G11" s="41"/>
      <c r="H11" s="41"/>
      <c r="I11" s="41"/>
      <c r="J11" s="75"/>
    </row>
    <row r="12" spans="1:10" s="4" customFormat="1" ht="12.75">
      <c r="A12" s="40"/>
      <c r="B12" s="48" t="s">
        <v>37</v>
      </c>
      <c r="C12" s="33">
        <f>SUM(C9:C11)</f>
        <v>18419</v>
      </c>
      <c r="D12" s="140">
        <f>C12/SUM($C$9:$C$11)</f>
        <v>1</v>
      </c>
      <c r="E12" s="140"/>
      <c r="F12" s="41"/>
      <c r="G12" s="68"/>
      <c r="H12" s="68"/>
      <c r="I12" s="41"/>
      <c r="J12" s="75"/>
    </row>
    <row r="13" spans="1:10" ht="12.75">
      <c r="A13" s="5">
        <v>4</v>
      </c>
      <c r="B13" s="13" t="s">
        <v>21</v>
      </c>
      <c r="C13" s="39">
        <v>8</v>
      </c>
      <c r="D13" s="51"/>
      <c r="E13" s="41"/>
      <c r="F13" s="41"/>
      <c r="G13" s="41"/>
      <c r="H13" s="41"/>
      <c r="I13" s="41"/>
      <c r="J13" s="76"/>
    </row>
    <row r="14" spans="1:10" ht="12.75">
      <c r="A14" s="5">
        <v>5</v>
      </c>
      <c r="B14" s="13" t="s">
        <v>22</v>
      </c>
      <c r="C14" s="39">
        <v>7</v>
      </c>
      <c r="D14" s="51"/>
      <c r="E14" s="41"/>
      <c r="F14" s="41"/>
      <c r="G14" s="41"/>
      <c r="H14" s="41"/>
      <c r="I14" s="41"/>
      <c r="J14" s="76"/>
    </row>
    <row r="15" spans="1:10" ht="12.75">
      <c r="A15" s="5">
        <v>6</v>
      </c>
      <c r="B15" s="13" t="s">
        <v>23</v>
      </c>
      <c r="C15" s="39">
        <v>210</v>
      </c>
      <c r="D15" s="51"/>
      <c r="E15" s="41"/>
      <c r="F15" s="41"/>
      <c r="G15" s="41"/>
      <c r="H15" s="41"/>
      <c r="I15" s="41"/>
      <c r="J15" s="76"/>
    </row>
    <row r="16" spans="1:10" ht="12.75">
      <c r="A16" s="5">
        <v>7</v>
      </c>
      <c r="B16" s="13" t="s">
        <v>24</v>
      </c>
      <c r="C16" s="39">
        <v>15</v>
      </c>
      <c r="D16" s="51"/>
      <c r="E16" s="41"/>
      <c r="F16" s="41"/>
      <c r="G16" s="41"/>
      <c r="H16" s="41"/>
      <c r="I16" s="41"/>
      <c r="J16" s="76"/>
    </row>
    <row r="17" spans="1:10" ht="12.75">
      <c r="A17" s="5">
        <v>8</v>
      </c>
      <c r="B17" s="13" t="s">
        <v>28</v>
      </c>
      <c r="C17" s="39">
        <v>74</v>
      </c>
      <c r="D17" s="51"/>
      <c r="E17" s="41"/>
      <c r="F17" s="41"/>
      <c r="G17" s="41"/>
      <c r="H17" s="41"/>
      <c r="I17" s="41"/>
      <c r="J17" s="76"/>
    </row>
    <row r="18" spans="1:10" s="4" customFormat="1" ht="12.75">
      <c r="A18" s="40"/>
      <c r="B18" s="48"/>
      <c r="E18" s="33"/>
      <c r="F18" s="33"/>
      <c r="G18" s="33"/>
      <c r="H18" s="33"/>
      <c r="I18" s="33"/>
      <c r="J18" s="77"/>
    </row>
    <row r="19" spans="1:10" ht="12.75">
      <c r="A19" s="141" t="s">
        <v>0</v>
      </c>
      <c r="B19" s="141" t="s">
        <v>1</v>
      </c>
      <c r="C19" s="141" t="s">
        <v>31</v>
      </c>
      <c r="D19" s="141"/>
      <c r="E19" s="141"/>
      <c r="F19" s="141" t="s">
        <v>63</v>
      </c>
      <c r="G19" s="141"/>
      <c r="H19" s="141"/>
      <c r="I19" s="141"/>
      <c r="J19" s="146" t="s">
        <v>12</v>
      </c>
    </row>
    <row r="20" spans="1:10" ht="12.75">
      <c r="A20" s="141"/>
      <c r="B20" s="141"/>
      <c r="C20" s="5"/>
      <c r="D20" s="5"/>
      <c r="E20" s="5"/>
      <c r="F20" s="149" t="s">
        <v>64</v>
      </c>
      <c r="G20" s="150"/>
      <c r="H20" s="149" t="s">
        <v>79</v>
      </c>
      <c r="I20" s="150"/>
      <c r="J20" s="147"/>
    </row>
    <row r="21" spans="1:10" ht="25.5">
      <c r="A21" s="141"/>
      <c r="B21" s="141"/>
      <c r="C21" s="5" t="s">
        <v>43</v>
      </c>
      <c r="D21" s="5" t="s">
        <v>44</v>
      </c>
      <c r="E21" s="5" t="s">
        <v>65</v>
      </c>
      <c r="F21" s="5" t="s">
        <v>67</v>
      </c>
      <c r="G21" s="5" t="s">
        <v>65</v>
      </c>
      <c r="H21" s="5" t="s">
        <v>68</v>
      </c>
      <c r="I21" s="5" t="s">
        <v>65</v>
      </c>
      <c r="J21" s="148"/>
    </row>
    <row r="22" spans="1:10" ht="12.7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/>
      <c r="G22" s="5"/>
      <c r="H22" s="5"/>
      <c r="I22" s="5"/>
      <c r="J22" s="5">
        <v>6</v>
      </c>
    </row>
    <row r="23" spans="1:10" ht="12.75">
      <c r="A23" s="43">
        <v>1</v>
      </c>
      <c r="B23" s="6" t="s">
        <v>5</v>
      </c>
      <c r="C23" s="5"/>
      <c r="D23" s="5"/>
      <c r="E23" s="5"/>
      <c r="F23" s="5"/>
      <c r="G23" s="5"/>
      <c r="H23" s="5"/>
      <c r="I23" s="5"/>
      <c r="J23" s="5"/>
    </row>
    <row r="24" spans="1:10" ht="12.75">
      <c r="A24" s="9" t="s">
        <v>47</v>
      </c>
      <c r="B24" s="59" t="s">
        <v>204</v>
      </c>
      <c r="C24" s="11">
        <v>0</v>
      </c>
      <c r="D24" s="11">
        <f>C24/12</f>
        <v>0</v>
      </c>
      <c r="E24" s="11"/>
      <c r="F24" s="50">
        <f>ROUND(C24*$D$11,0)</f>
        <v>0</v>
      </c>
      <c r="G24" s="11"/>
      <c r="H24" s="50">
        <f>C24-F24</f>
        <v>0</v>
      </c>
      <c r="I24" s="11"/>
      <c r="J24" s="129"/>
    </row>
    <row r="25" spans="1:10" ht="12.75">
      <c r="A25" s="9" t="s">
        <v>48</v>
      </c>
      <c r="B25" s="59" t="s">
        <v>2</v>
      </c>
      <c r="C25" s="11">
        <f>SUM(C26:C27)</f>
        <v>4065872.3200000003</v>
      </c>
      <c r="D25" s="11">
        <f>C25/12</f>
        <v>338822.69333333336</v>
      </c>
      <c r="E25" s="49">
        <f>SUM(E26:E27)</f>
        <v>18.4</v>
      </c>
      <c r="F25" s="34"/>
      <c r="G25" s="34"/>
      <c r="H25" s="34"/>
      <c r="I25" s="34"/>
      <c r="J25" s="42"/>
    </row>
    <row r="26" spans="1:10" ht="12.75">
      <c r="A26" s="12"/>
      <c r="B26" s="60" t="s">
        <v>226</v>
      </c>
      <c r="C26" s="3">
        <f>C33+C50+C80+C91</f>
        <v>3941872.3200000003</v>
      </c>
      <c r="D26" s="3">
        <f>C26/12</f>
        <v>328489.36000000004</v>
      </c>
      <c r="E26" s="35">
        <f>ROUND(SUM(E33,E50,E80,E91),2)</f>
        <v>17.83</v>
      </c>
      <c r="F26" s="35"/>
      <c r="G26" s="35"/>
      <c r="H26" s="35"/>
      <c r="I26" s="35"/>
      <c r="J26" s="79"/>
    </row>
    <row r="27" spans="1:10" ht="12.75">
      <c r="A27" s="12"/>
      <c r="B27" s="60" t="s">
        <v>227</v>
      </c>
      <c r="C27" s="34">
        <f>C88</f>
        <v>124000</v>
      </c>
      <c r="D27" s="3">
        <f>C27/12</f>
        <v>10333.333333333334</v>
      </c>
      <c r="E27" s="35">
        <f>ROUNDUP(E88,2)</f>
        <v>0.5700000000000001</v>
      </c>
      <c r="F27" s="35"/>
      <c r="G27" s="35"/>
      <c r="H27" s="35"/>
      <c r="I27" s="35"/>
      <c r="J27" s="79"/>
    </row>
    <row r="28" spans="1:10" ht="12.75">
      <c r="A28" s="9" t="s">
        <v>49</v>
      </c>
      <c r="B28" s="59" t="s">
        <v>3</v>
      </c>
      <c r="C28" s="11">
        <v>210000</v>
      </c>
      <c r="D28" s="11">
        <f>C28/12</f>
        <v>17500</v>
      </c>
      <c r="E28" s="11"/>
      <c r="F28" s="50">
        <f>ROUND(C28*$D$11,0)</f>
        <v>16577</v>
      </c>
      <c r="G28" s="11"/>
      <c r="H28" s="50">
        <f>C28-F28</f>
        <v>193423</v>
      </c>
      <c r="I28" s="11"/>
      <c r="J28" s="78"/>
    </row>
    <row r="29" spans="1:10" ht="12.75">
      <c r="A29" s="9" t="s">
        <v>50</v>
      </c>
      <c r="B29" s="59" t="s">
        <v>30</v>
      </c>
      <c r="C29" s="11">
        <v>0</v>
      </c>
      <c r="D29" s="11">
        <f>C29/12</f>
        <v>0</v>
      </c>
      <c r="E29" s="35"/>
      <c r="F29" s="35"/>
      <c r="G29" s="35"/>
      <c r="H29" s="35"/>
      <c r="I29" s="35"/>
      <c r="J29" s="80"/>
    </row>
    <row r="30" spans="1:10" ht="12.75">
      <c r="A30" s="9" t="s">
        <v>51</v>
      </c>
      <c r="B30" s="45" t="s">
        <v>4</v>
      </c>
      <c r="C30" s="11">
        <f>SUM(C24:C25)+SUM(C28:C29)</f>
        <v>4275872.32</v>
      </c>
      <c r="D30" s="11">
        <f>C30/12</f>
        <v>356322.69333333336</v>
      </c>
      <c r="E30" s="7"/>
      <c r="F30" s="7"/>
      <c r="G30" s="7"/>
      <c r="H30" s="7"/>
      <c r="I30" s="7"/>
      <c r="J30" s="81"/>
    </row>
    <row r="31" spans="3:10" ht="12.75">
      <c r="C31" s="1"/>
      <c r="D31" s="1"/>
      <c r="E31" s="36"/>
      <c r="F31" s="36"/>
      <c r="G31" s="36"/>
      <c r="H31" s="36"/>
      <c r="I31" s="36"/>
      <c r="J31" s="82"/>
    </row>
    <row r="32" spans="1:10" ht="12.75">
      <c r="A32" s="32">
        <v>2</v>
      </c>
      <c r="B32" s="6" t="s">
        <v>6</v>
      </c>
      <c r="C32" s="3"/>
      <c r="D32" s="3"/>
      <c r="E32" s="35"/>
      <c r="F32" s="35"/>
      <c r="G32" s="35"/>
      <c r="H32" s="35"/>
      <c r="I32" s="35"/>
      <c r="J32" s="74" t="s">
        <v>12</v>
      </c>
    </row>
    <row r="33" spans="1:10" ht="25.5">
      <c r="A33" s="32" t="s">
        <v>33</v>
      </c>
      <c r="B33" s="10" t="s">
        <v>180</v>
      </c>
      <c r="C33" s="11">
        <f>C34-C28</f>
        <v>550618.16</v>
      </c>
      <c r="D33" s="11">
        <f>C33/12</f>
        <v>45884.84666666667</v>
      </c>
      <c r="E33" s="49">
        <f>C33/$C$12/12</f>
        <v>2.4911692636227083</v>
      </c>
      <c r="F33" s="11"/>
      <c r="G33" s="49"/>
      <c r="H33" s="11"/>
      <c r="I33" s="49"/>
      <c r="J33" s="74"/>
    </row>
    <row r="34" spans="1:10" ht="12.75">
      <c r="A34" s="32"/>
      <c r="B34" s="10" t="s">
        <v>7</v>
      </c>
      <c r="C34" s="11">
        <f>SUM(C35:C48)</f>
        <v>760618.16</v>
      </c>
      <c r="D34" s="11">
        <f>C34/12</f>
        <v>63384.84666666667</v>
      </c>
      <c r="E34" s="49">
        <f>C34/$C$12/12</f>
        <v>3.4412751325623905</v>
      </c>
      <c r="F34" s="11" t="e">
        <f>SUM(F35:F48)</f>
        <v>#REF!</v>
      </c>
      <c r="G34" s="49" t="e">
        <f>F34/$C$11/12</f>
        <v>#REF!</v>
      </c>
      <c r="H34" s="11" t="e">
        <f>SUM(H35:H48)</f>
        <v>#REF!</v>
      </c>
      <c r="I34" s="49" t="e">
        <f>H34/($C$12-$C$11)/12</f>
        <v>#REF!</v>
      </c>
      <c r="J34" s="74"/>
    </row>
    <row r="35" spans="1:10" ht="25.5">
      <c r="A35" s="86" t="s">
        <v>101</v>
      </c>
      <c r="B35" s="93" t="s">
        <v>129</v>
      </c>
      <c r="C35" s="50">
        <v>28000</v>
      </c>
      <c r="D35" s="50">
        <f aca="true" t="shared" si="0" ref="D35:D40">C35/12</f>
        <v>2333.3333333333335</v>
      </c>
      <c r="E35" s="53">
        <f aca="true" t="shared" si="1" ref="E35:E65">C35/$C$12/12</f>
        <v>0.1266807825252909</v>
      </c>
      <c r="F35" s="50">
        <f aca="true" t="shared" si="2" ref="F35:F41">ROUND(C35*$D$11,0)</f>
        <v>2210</v>
      </c>
      <c r="G35" s="53">
        <f aca="true" t="shared" si="3" ref="G35:G46">F35/$C$11/12</f>
        <v>0.12666208161393858</v>
      </c>
      <c r="H35" s="50">
        <f aca="true" t="shared" si="4" ref="H35:H41">C35-F35</f>
        <v>25790</v>
      </c>
      <c r="I35" s="53">
        <f aca="true" t="shared" si="5" ref="I35:I46">H35/($C$12-$C$11)/12</f>
        <v>0.12668238530307496</v>
      </c>
      <c r="J35" s="144" t="s">
        <v>151</v>
      </c>
    </row>
    <row r="36" spans="1:10" ht="12.75">
      <c r="A36" s="86" t="s">
        <v>102</v>
      </c>
      <c r="B36" s="66" t="s">
        <v>38</v>
      </c>
      <c r="C36" s="50">
        <f>25000</f>
        <v>25000</v>
      </c>
      <c r="D36" s="50">
        <f t="shared" si="0"/>
        <v>2083.3333333333335</v>
      </c>
      <c r="E36" s="53">
        <f t="shared" si="1"/>
        <v>0.1131078415404383</v>
      </c>
      <c r="F36" s="50">
        <f t="shared" si="2"/>
        <v>1974</v>
      </c>
      <c r="G36" s="53">
        <f t="shared" si="3"/>
        <v>0.11313617606602476</v>
      </c>
      <c r="H36" s="50">
        <f t="shared" si="4"/>
        <v>23026</v>
      </c>
      <c r="I36" s="53">
        <f t="shared" si="5"/>
        <v>0.11310541310541311</v>
      </c>
      <c r="J36" s="145"/>
    </row>
    <row r="37" spans="1:10" ht="12.75">
      <c r="A37" s="86" t="s">
        <v>103</v>
      </c>
      <c r="B37" s="66" t="s">
        <v>69</v>
      </c>
      <c r="C37" s="50">
        <v>500</v>
      </c>
      <c r="D37" s="50">
        <f t="shared" si="0"/>
        <v>41.666666666666664</v>
      </c>
      <c r="E37" s="53">
        <f t="shared" si="1"/>
        <v>0.0022621568308087664</v>
      </c>
      <c r="F37" s="50">
        <f t="shared" si="2"/>
        <v>39</v>
      </c>
      <c r="G37" s="53">
        <f t="shared" si="3"/>
        <v>0.002235213204951857</v>
      </c>
      <c r="H37" s="50">
        <f t="shared" si="4"/>
        <v>461</v>
      </c>
      <c r="I37" s="53">
        <f t="shared" si="5"/>
        <v>0.0022644660575695057</v>
      </c>
      <c r="J37" s="73"/>
    </row>
    <row r="38" spans="1:10" ht="25.5">
      <c r="A38" s="86" t="s">
        <v>104</v>
      </c>
      <c r="B38" s="93" t="s">
        <v>173</v>
      </c>
      <c r="C38" s="50">
        <v>10000</v>
      </c>
      <c r="D38" s="50">
        <f t="shared" si="0"/>
        <v>833.3333333333334</v>
      </c>
      <c r="E38" s="53">
        <f t="shared" si="1"/>
        <v>0.04524313661617532</v>
      </c>
      <c r="F38" s="50">
        <f t="shared" si="2"/>
        <v>789</v>
      </c>
      <c r="G38" s="53">
        <f t="shared" si="3"/>
        <v>0.045220082530949106</v>
      </c>
      <c r="H38" s="50">
        <f t="shared" si="4"/>
        <v>9211</v>
      </c>
      <c r="I38" s="53">
        <f t="shared" si="5"/>
        <v>0.045245112486491795</v>
      </c>
      <c r="J38" s="95" t="s">
        <v>151</v>
      </c>
    </row>
    <row r="39" spans="1:10" ht="12.75">
      <c r="A39" s="86" t="s">
        <v>105</v>
      </c>
      <c r="B39" s="66" t="s">
        <v>70</v>
      </c>
      <c r="C39" s="50">
        <v>10000</v>
      </c>
      <c r="D39" s="50">
        <f t="shared" si="0"/>
        <v>833.3333333333334</v>
      </c>
      <c r="E39" s="53">
        <f t="shared" si="1"/>
        <v>0.04524313661617532</v>
      </c>
      <c r="F39" s="50">
        <f t="shared" si="2"/>
        <v>789</v>
      </c>
      <c r="G39" s="53">
        <f t="shared" si="3"/>
        <v>0.045220082530949106</v>
      </c>
      <c r="H39" s="50">
        <f t="shared" si="4"/>
        <v>9211</v>
      </c>
      <c r="I39" s="53">
        <f t="shared" si="5"/>
        <v>0.045245112486491795</v>
      </c>
      <c r="J39" s="84" t="s">
        <v>137</v>
      </c>
    </row>
    <row r="40" spans="1:10" ht="12.75">
      <c r="A40" s="86" t="s">
        <v>106</v>
      </c>
      <c r="B40" s="93" t="s">
        <v>168</v>
      </c>
      <c r="C40" s="50">
        <v>180000</v>
      </c>
      <c r="D40" s="50">
        <f t="shared" si="0"/>
        <v>15000</v>
      </c>
      <c r="E40" s="53">
        <f t="shared" si="1"/>
        <v>0.8143764590911559</v>
      </c>
      <c r="F40" s="50">
        <f t="shared" si="2"/>
        <v>14209</v>
      </c>
      <c r="G40" s="53">
        <f t="shared" si="3"/>
        <v>0.8143626776707932</v>
      </c>
      <c r="H40" s="50">
        <f t="shared" si="4"/>
        <v>165791</v>
      </c>
      <c r="I40" s="53">
        <f t="shared" si="5"/>
        <v>0.8143776402397092</v>
      </c>
      <c r="J40" s="84" t="s">
        <v>137</v>
      </c>
    </row>
    <row r="41" spans="1:10" ht="12.75">
      <c r="A41" s="86" t="s">
        <v>107</v>
      </c>
      <c r="B41" s="66" t="s">
        <v>134</v>
      </c>
      <c r="C41" s="50">
        <f>'штатное '!K13</f>
        <v>349708.32</v>
      </c>
      <c r="D41" s="50">
        <f>C41/12</f>
        <v>29142.36</v>
      </c>
      <c r="E41" s="53">
        <f t="shared" si="1"/>
        <v>1.5821901297573158</v>
      </c>
      <c r="F41" s="50">
        <f t="shared" si="2"/>
        <v>27606</v>
      </c>
      <c r="G41" s="53">
        <f t="shared" si="3"/>
        <v>1.5821870701513066</v>
      </c>
      <c r="H41" s="50">
        <f t="shared" si="4"/>
        <v>322102.32</v>
      </c>
      <c r="I41" s="53">
        <f t="shared" si="5"/>
        <v>1.5821903919834954</v>
      </c>
      <c r="J41" s="83" t="s">
        <v>138</v>
      </c>
    </row>
    <row r="42" spans="1:10" ht="12.75">
      <c r="A42" s="86" t="s">
        <v>108</v>
      </c>
      <c r="B42" s="93" t="s">
        <v>161</v>
      </c>
      <c r="C42" s="50">
        <v>9000</v>
      </c>
      <c r="D42" s="50"/>
      <c r="E42" s="53">
        <f t="shared" si="1"/>
        <v>0.040718822954557796</v>
      </c>
      <c r="F42" s="50">
        <f>ROUND(C42*$D$11,0)</f>
        <v>710</v>
      </c>
      <c r="G42" s="53">
        <f t="shared" si="3"/>
        <v>0.040692342961944065</v>
      </c>
      <c r="H42" s="50">
        <f>C42-F42</f>
        <v>8290</v>
      </c>
      <c r="I42" s="53">
        <f t="shared" si="5"/>
        <v>0.040721092445230374</v>
      </c>
      <c r="J42" s="95" t="s">
        <v>181</v>
      </c>
    </row>
    <row r="43" spans="1:10" ht="12.75">
      <c r="A43" s="86" t="s">
        <v>109</v>
      </c>
      <c r="B43" s="66" t="s">
        <v>98</v>
      </c>
      <c r="C43" s="50">
        <v>13200</v>
      </c>
      <c r="D43" s="50">
        <f aca="true" t="shared" si="6" ref="D43:D53">C43/12</f>
        <v>1100</v>
      </c>
      <c r="E43" s="53">
        <f t="shared" si="1"/>
        <v>0.05972094033335143</v>
      </c>
      <c r="F43" s="50">
        <f>ROUND(C43*$D$11,0)</f>
        <v>1042</v>
      </c>
      <c r="G43" s="53">
        <f t="shared" si="3"/>
        <v>0.05972031178358551</v>
      </c>
      <c r="H43" s="50">
        <f>C43-F43</f>
        <v>12158</v>
      </c>
      <c r="I43" s="53">
        <f t="shared" si="5"/>
        <v>0.05972099420375283</v>
      </c>
      <c r="J43" s="84" t="s">
        <v>137</v>
      </c>
    </row>
    <row r="44" spans="1:10" ht="12.75">
      <c r="A44" s="86" t="s">
        <v>110</v>
      </c>
      <c r="B44" s="99" t="s">
        <v>160</v>
      </c>
      <c r="C44" s="100">
        <v>9600</v>
      </c>
      <c r="D44" s="100">
        <f t="shared" si="6"/>
        <v>800</v>
      </c>
      <c r="E44" s="101">
        <f>C44/$C$12/12</f>
        <v>0.043433411151528316</v>
      </c>
      <c r="F44" s="50">
        <f>ROUND(C44*$D$11,0)</f>
        <v>758</v>
      </c>
      <c r="G44" s="53">
        <f t="shared" si="3"/>
        <v>0.04344337459880789</v>
      </c>
      <c r="H44" s="50">
        <f>C44-F44</f>
        <v>8842</v>
      </c>
      <c r="I44" s="53">
        <f t="shared" si="5"/>
        <v>0.043432557225660674</v>
      </c>
      <c r="J44" s="84" t="s">
        <v>137</v>
      </c>
    </row>
    <row r="45" spans="1:10" ht="25.5">
      <c r="A45" s="86" t="s">
        <v>126</v>
      </c>
      <c r="B45" s="66" t="s">
        <v>120</v>
      </c>
      <c r="C45" s="50">
        <v>33000</v>
      </c>
      <c r="D45" s="50">
        <f>C45/12</f>
        <v>2750</v>
      </c>
      <c r="E45" s="53">
        <f>C45/$C$12/12</f>
        <v>0.1493023508333786</v>
      </c>
      <c r="F45" s="50">
        <f>ROUND(C45*$D$11,0)</f>
        <v>2605</v>
      </c>
      <c r="G45" s="53">
        <f t="shared" si="3"/>
        <v>0.14930077945896378</v>
      </c>
      <c r="H45" s="50">
        <f>C45-F45</f>
        <v>30395</v>
      </c>
      <c r="I45" s="53">
        <f t="shared" si="5"/>
        <v>0.14930248550938205</v>
      </c>
      <c r="J45" s="95" t="s">
        <v>151</v>
      </c>
    </row>
    <row r="46" spans="1:10" ht="12.75">
      <c r="A46" s="86" t="s">
        <v>127</v>
      </c>
      <c r="B46" s="93" t="s">
        <v>159</v>
      </c>
      <c r="C46" s="87">
        <f>600*12</f>
        <v>7200</v>
      </c>
      <c r="D46" s="50">
        <f>C46/12</f>
        <v>600</v>
      </c>
      <c r="E46" s="53">
        <f>C46/$C$12/12</f>
        <v>0.032575058363646235</v>
      </c>
      <c r="F46" s="50">
        <f>ROUND(C46*$D$11,0)</f>
        <v>568</v>
      </c>
      <c r="G46" s="53">
        <f t="shared" si="3"/>
        <v>0.03255387436955525</v>
      </c>
      <c r="H46" s="50">
        <f>C46-F46</f>
        <v>6632</v>
      </c>
      <c r="I46" s="53">
        <f t="shared" si="5"/>
        <v>0.0325768739561843</v>
      </c>
      <c r="J46" s="84" t="s">
        <v>137</v>
      </c>
    </row>
    <row r="47" spans="1:10" ht="12.75">
      <c r="A47" s="97" t="s">
        <v>157</v>
      </c>
      <c r="B47" s="66" t="s">
        <v>42</v>
      </c>
      <c r="C47" s="50">
        <f>2950.82*12</f>
        <v>35409.840000000004</v>
      </c>
      <c r="D47" s="50">
        <f>C47/12</f>
        <v>2950.82</v>
      </c>
      <c r="E47" s="53">
        <f>C47/$C$12/12</f>
        <v>0.16020522286769098</v>
      </c>
      <c r="F47" s="70"/>
      <c r="G47" s="71"/>
      <c r="H47" s="71"/>
      <c r="I47" s="71"/>
      <c r="J47" s="84" t="s">
        <v>137</v>
      </c>
    </row>
    <row r="48" spans="1:10" ht="12.75">
      <c r="A48" s="97" t="s">
        <v>158</v>
      </c>
      <c r="B48" s="66" t="s">
        <v>136</v>
      </c>
      <c r="C48" s="50">
        <v>50000</v>
      </c>
      <c r="D48" s="50"/>
      <c r="E48" s="53">
        <f>C48/$C$12/12</f>
        <v>0.2262156830808766</v>
      </c>
      <c r="F48" s="50" t="e">
        <f>ROUND(#REF!*$D$11,0)</f>
        <v>#REF!</v>
      </c>
      <c r="G48" s="53" t="e">
        <f aca="true" t="shared" si="7" ref="G48:G55">F48/$C$11/12</f>
        <v>#REF!</v>
      </c>
      <c r="H48" s="50" t="e">
        <f>#REF!-F48</f>
        <v>#REF!</v>
      </c>
      <c r="I48" s="53" t="e">
        <f aca="true" t="shared" si="8" ref="I48:I55">H48/($C$12-$C$11)/12</f>
        <v>#REF!</v>
      </c>
      <c r="J48" s="84" t="s">
        <v>137</v>
      </c>
    </row>
    <row r="49" spans="1:10" ht="12.75">
      <c r="A49" s="97"/>
      <c r="B49" s="66"/>
      <c r="C49" s="50"/>
      <c r="D49" s="50"/>
      <c r="E49" s="53"/>
      <c r="F49" s="50"/>
      <c r="G49" s="53"/>
      <c r="H49" s="50"/>
      <c r="I49" s="53"/>
      <c r="J49" s="84"/>
    </row>
    <row r="50" spans="1:10" ht="25.5">
      <c r="A50" s="32" t="s">
        <v>34</v>
      </c>
      <c r="B50" s="10" t="s">
        <v>166</v>
      </c>
      <c r="C50" s="11">
        <f>SUM(C51:C79)</f>
        <v>2995254.16</v>
      </c>
      <c r="D50" s="11">
        <f t="shared" si="6"/>
        <v>249604.51333333334</v>
      </c>
      <c r="E50" s="49">
        <f t="shared" si="1"/>
        <v>13.551469316104749</v>
      </c>
      <c r="F50" s="11">
        <f>SUM(F51:F72)</f>
        <v>133115</v>
      </c>
      <c r="G50" s="49">
        <f t="shared" si="7"/>
        <v>7.629241173773498</v>
      </c>
      <c r="H50" s="11">
        <f>SUM(H51:H72)</f>
        <v>1197889</v>
      </c>
      <c r="I50" s="49">
        <f t="shared" si="8"/>
        <v>5.884119265153747</v>
      </c>
      <c r="J50" s="73"/>
    </row>
    <row r="51" spans="1:10" ht="25.5">
      <c r="A51" s="104" t="s">
        <v>52</v>
      </c>
      <c r="B51" s="93" t="s">
        <v>167</v>
      </c>
      <c r="C51" s="50">
        <f>'штатное '!K32</f>
        <v>887588</v>
      </c>
      <c r="D51" s="50">
        <f t="shared" si="6"/>
        <v>73965.66666666667</v>
      </c>
      <c r="E51" s="53">
        <f t="shared" si="1"/>
        <v>4.015726514287782</v>
      </c>
      <c r="F51" s="50">
        <f>ROUND(C51*$D$11,0)</f>
        <v>70066</v>
      </c>
      <c r="G51" s="53">
        <f t="shared" si="7"/>
        <v>4.015703805593764</v>
      </c>
      <c r="H51" s="50">
        <f>C51-F51</f>
        <v>817522</v>
      </c>
      <c r="I51" s="53">
        <f t="shared" si="8"/>
        <v>4.015728460556047</v>
      </c>
      <c r="J51" s="83" t="s">
        <v>138</v>
      </c>
    </row>
    <row r="52" spans="1:10" ht="12.75">
      <c r="A52" s="104" t="s">
        <v>53</v>
      </c>
      <c r="B52" s="66" t="s">
        <v>100</v>
      </c>
      <c r="C52" s="50">
        <f>'штатное '!K38+2628*12</f>
        <v>136992</v>
      </c>
      <c r="D52" s="50">
        <f>C52/12</f>
        <v>11416</v>
      </c>
      <c r="E52" s="53">
        <f t="shared" si="1"/>
        <v>0.619794777132309</v>
      </c>
      <c r="F52" s="50">
        <f>ROUND(C52*$D$11,0)</f>
        <v>10814</v>
      </c>
      <c r="G52" s="53">
        <f>F52/$C$11/12</f>
        <v>0.619784502521779</v>
      </c>
      <c r="H52" s="50">
        <f>C52-F52</f>
        <v>126178</v>
      </c>
      <c r="I52" s="53">
        <f>H52/($C$12-$C$11)/12</f>
        <v>0.6197956577266922</v>
      </c>
      <c r="J52" s="84" t="s">
        <v>137</v>
      </c>
    </row>
    <row r="53" spans="1:10" ht="25.5">
      <c r="A53" s="97" t="s">
        <v>54</v>
      </c>
      <c r="B53" s="66" t="s">
        <v>119</v>
      </c>
      <c r="C53" s="50">
        <f>5002*12</f>
        <v>60024</v>
      </c>
      <c r="D53" s="50">
        <f t="shared" si="6"/>
        <v>5002</v>
      </c>
      <c r="E53" s="53">
        <f t="shared" si="1"/>
        <v>0.2715674032249308</v>
      </c>
      <c r="F53" s="50">
        <f>ROUND(C53*$D$11,0)</f>
        <v>4738</v>
      </c>
      <c r="G53" s="53">
        <f t="shared" si="7"/>
        <v>0.27154974782209995</v>
      </c>
      <c r="H53" s="50">
        <f>C53-F53</f>
        <v>55286</v>
      </c>
      <c r="I53" s="53">
        <f t="shared" si="8"/>
        <v>0.2715689163965026</v>
      </c>
      <c r="J53" s="84" t="s">
        <v>137</v>
      </c>
    </row>
    <row r="54" spans="1:10" ht="12.75">
      <c r="A54" s="88" t="s">
        <v>55</v>
      </c>
      <c r="B54" s="66" t="s">
        <v>71</v>
      </c>
      <c r="C54" s="50">
        <v>5000</v>
      </c>
      <c r="D54" s="50"/>
      <c r="E54" s="53">
        <f t="shared" si="1"/>
        <v>0.02262156830808766</v>
      </c>
      <c r="F54" s="50">
        <f>ROUND(C54*$D$11,0)</f>
        <v>395</v>
      </c>
      <c r="G54" s="53">
        <f t="shared" si="7"/>
        <v>0.022638697845025216</v>
      </c>
      <c r="H54" s="50">
        <f>C54-F54</f>
        <v>4605</v>
      </c>
      <c r="I54" s="53">
        <f t="shared" si="8"/>
        <v>0.022620100206307104</v>
      </c>
      <c r="J54" s="138" t="s">
        <v>151</v>
      </c>
    </row>
    <row r="55" spans="1:10" ht="12.75">
      <c r="A55" s="104" t="s">
        <v>74</v>
      </c>
      <c r="B55" s="102" t="s">
        <v>171</v>
      </c>
      <c r="C55" s="103">
        <v>33000</v>
      </c>
      <c r="D55" s="103"/>
      <c r="E55" s="53">
        <f t="shared" si="1"/>
        <v>0.1493023508333786</v>
      </c>
      <c r="F55" s="50">
        <f>ROUND(C55*$D$11,0)</f>
        <v>2605</v>
      </c>
      <c r="G55" s="53">
        <f t="shared" si="7"/>
        <v>0.14930077945896378</v>
      </c>
      <c r="H55" s="50">
        <f>C55-F55</f>
        <v>30395</v>
      </c>
      <c r="I55" s="53">
        <f t="shared" si="8"/>
        <v>0.14930248550938205</v>
      </c>
      <c r="J55" s="139"/>
    </row>
    <row r="56" spans="1:10" ht="12.75">
      <c r="A56" s="104" t="s">
        <v>75</v>
      </c>
      <c r="B56" s="93" t="s">
        <v>154</v>
      </c>
      <c r="C56" s="50">
        <f>F56+H56</f>
        <v>29040</v>
      </c>
      <c r="D56" s="50">
        <f>C56/12</f>
        <v>2420</v>
      </c>
      <c r="E56" s="53">
        <f t="shared" si="1"/>
        <v>0.13138606873337313</v>
      </c>
      <c r="F56" s="50"/>
      <c r="G56" s="53"/>
      <c r="H56" s="50">
        <v>29040</v>
      </c>
      <c r="I56" s="53">
        <f>H56/($C$12-$C$11)/12</f>
        <v>0.14264662540524609</v>
      </c>
      <c r="J56" s="84" t="s">
        <v>137</v>
      </c>
    </row>
    <row r="57" spans="1:10" ht="12.75">
      <c r="A57" s="104" t="s">
        <v>76</v>
      </c>
      <c r="B57" s="93" t="s">
        <v>155</v>
      </c>
      <c r="C57" s="50">
        <f>F57+H57</f>
        <v>9600</v>
      </c>
      <c r="D57" s="50">
        <f>C57/12</f>
        <v>800</v>
      </c>
      <c r="E57" s="53">
        <f t="shared" si="1"/>
        <v>0.043433411151528316</v>
      </c>
      <c r="F57" s="50">
        <v>0</v>
      </c>
      <c r="G57" s="53">
        <f>F57/$C$11/12</f>
        <v>0</v>
      </c>
      <c r="H57" s="50">
        <v>9600</v>
      </c>
      <c r="I57" s="53">
        <f>H57/($C$12-$C$11)/12</f>
        <v>0.04715590922487475</v>
      </c>
      <c r="J57" s="84" t="s">
        <v>137</v>
      </c>
    </row>
    <row r="58" spans="1:10" ht="25.5">
      <c r="A58" s="104" t="s">
        <v>95</v>
      </c>
      <c r="B58" s="93" t="s">
        <v>156</v>
      </c>
      <c r="C58" s="50">
        <f>F58+H58</f>
        <v>23760</v>
      </c>
      <c r="D58" s="50">
        <f>C58/12</f>
        <v>1980</v>
      </c>
      <c r="E58" s="53">
        <f t="shared" si="1"/>
        <v>0.10749769260003257</v>
      </c>
      <c r="F58" s="50">
        <f>1980*12</f>
        <v>23760</v>
      </c>
      <c r="G58" s="53">
        <f>F58/$C$11/12</f>
        <v>1.361760660247593</v>
      </c>
      <c r="H58" s="50"/>
      <c r="I58" s="53"/>
      <c r="J58" s="84" t="s">
        <v>137</v>
      </c>
    </row>
    <row r="59" spans="1:10" ht="25.5">
      <c r="A59" s="104" t="s">
        <v>96</v>
      </c>
      <c r="B59" s="93" t="s">
        <v>179</v>
      </c>
      <c r="C59" s="50">
        <v>10000</v>
      </c>
      <c r="D59" s="50"/>
      <c r="E59" s="53">
        <f t="shared" si="1"/>
        <v>0.04524313661617532</v>
      </c>
      <c r="F59" s="50">
        <f>C59</f>
        <v>10000</v>
      </c>
      <c r="G59" s="53">
        <f>F59/$C$11/12</f>
        <v>0.5731315910132967</v>
      </c>
      <c r="H59" s="50"/>
      <c r="I59" s="53"/>
      <c r="J59" s="73" t="s">
        <v>140</v>
      </c>
    </row>
    <row r="60" spans="1:10" ht="25.5">
      <c r="A60" s="104" t="s">
        <v>97</v>
      </c>
      <c r="B60" s="66" t="s">
        <v>121</v>
      </c>
      <c r="C60" s="50">
        <v>75000</v>
      </c>
      <c r="D60" s="50">
        <f>C60/12</f>
        <v>6250</v>
      </c>
      <c r="E60" s="53">
        <f t="shared" si="1"/>
        <v>0.33932352462131493</v>
      </c>
      <c r="F60" s="50">
        <f>ROUND(C60*$D$11,0)</f>
        <v>5921</v>
      </c>
      <c r="G60" s="53">
        <f>F60/$C$11/12</f>
        <v>0.339351215038973</v>
      </c>
      <c r="H60" s="50">
        <f>C60-F60</f>
        <v>69079</v>
      </c>
      <c r="I60" s="53">
        <f>H60/($C$12-$C$11)/12</f>
        <v>0.33932115139011687</v>
      </c>
      <c r="J60" s="84" t="s">
        <v>137</v>
      </c>
    </row>
    <row r="61" spans="1:10" ht="12.75">
      <c r="A61" s="104" t="s">
        <v>111</v>
      </c>
      <c r="B61" s="93" t="s">
        <v>174</v>
      </c>
      <c r="C61" s="50">
        <f>115*225*12</f>
        <v>310500</v>
      </c>
      <c r="D61" s="50">
        <f>C61/12</f>
        <v>25875</v>
      </c>
      <c r="E61" s="53">
        <f t="shared" si="1"/>
        <v>1.404799391932244</v>
      </c>
      <c r="F61" s="70"/>
      <c r="G61" s="71"/>
      <c r="H61" s="71"/>
      <c r="I61" s="71"/>
      <c r="J61" s="84" t="s">
        <v>137</v>
      </c>
    </row>
    <row r="62" spans="1:10" ht="12.75">
      <c r="A62" s="97" t="s">
        <v>112</v>
      </c>
      <c r="B62" s="66" t="s">
        <v>41</v>
      </c>
      <c r="C62" s="50">
        <f>29544.84*12</f>
        <v>354538.08</v>
      </c>
      <c r="D62" s="50">
        <f>C62/12</f>
        <v>29544.84</v>
      </c>
      <c r="E62" s="53">
        <f t="shared" si="1"/>
        <v>1.6040414789076498</v>
      </c>
      <c r="F62" s="70"/>
      <c r="G62" s="71"/>
      <c r="H62" s="71"/>
      <c r="I62" s="71"/>
      <c r="J62" s="84" t="s">
        <v>137</v>
      </c>
    </row>
    <row r="63" spans="1:10" ht="12.75">
      <c r="A63" s="104" t="s">
        <v>133</v>
      </c>
      <c r="B63" s="102" t="s">
        <v>175</v>
      </c>
      <c r="C63" s="103">
        <v>18640</v>
      </c>
      <c r="D63" s="92"/>
      <c r="E63" s="53">
        <f t="shared" si="1"/>
        <v>0.0843332066525508</v>
      </c>
      <c r="F63" s="70"/>
      <c r="G63" s="71"/>
      <c r="H63" s="71"/>
      <c r="I63" s="71"/>
      <c r="J63" s="84" t="s">
        <v>137</v>
      </c>
    </row>
    <row r="64" spans="1:10" ht="12.75">
      <c r="A64" s="104" t="s">
        <v>113</v>
      </c>
      <c r="B64" s="66" t="s">
        <v>125</v>
      </c>
      <c r="C64" s="50">
        <f>5670*12</f>
        <v>68040</v>
      </c>
      <c r="D64" s="50">
        <f>C64/12</f>
        <v>5670</v>
      </c>
      <c r="E64" s="53">
        <f t="shared" si="1"/>
        <v>0.3078343015364569</v>
      </c>
      <c r="F64" s="70"/>
      <c r="G64" s="71"/>
      <c r="H64" s="71"/>
      <c r="I64" s="71"/>
      <c r="J64" s="84" t="s">
        <v>137</v>
      </c>
    </row>
    <row r="65" spans="1:10" ht="38.25">
      <c r="A65" s="121" t="s">
        <v>182</v>
      </c>
      <c r="B65" s="122" t="s">
        <v>135</v>
      </c>
      <c r="C65" s="109">
        <v>60000</v>
      </c>
      <c r="D65" s="50">
        <f>C65/12</f>
        <v>5000</v>
      </c>
      <c r="E65" s="53">
        <f t="shared" si="1"/>
        <v>0.27145881969705193</v>
      </c>
      <c r="F65" s="72"/>
      <c r="G65" s="110"/>
      <c r="H65" s="110"/>
      <c r="I65" s="110"/>
      <c r="J65" s="123" t="s">
        <v>151</v>
      </c>
    </row>
    <row r="66" spans="1:10" ht="12.75">
      <c r="A66" s="136" t="s">
        <v>169</v>
      </c>
      <c r="B66" s="137"/>
      <c r="C66" s="118"/>
      <c r="D66" s="118"/>
      <c r="E66" s="71"/>
      <c r="F66" s="118"/>
      <c r="G66" s="71"/>
      <c r="H66" s="118"/>
      <c r="I66" s="71"/>
      <c r="J66" s="120"/>
    </row>
    <row r="67" spans="1:10" ht="12.75">
      <c r="A67" s="124" t="s">
        <v>183</v>
      </c>
      <c r="B67" s="125" t="s">
        <v>170</v>
      </c>
      <c r="C67" s="113">
        <v>6000</v>
      </c>
      <c r="D67" s="113">
        <f>C67/12</f>
        <v>500</v>
      </c>
      <c r="E67" s="53">
        <f aca="true" t="shared" si="9" ref="E67:E72">C67/$C$12/12</f>
        <v>0.027145881969705198</v>
      </c>
      <c r="F67" s="113">
        <f>ROUND(C67*$D$11,0)</f>
        <v>474</v>
      </c>
      <c r="G67" s="114">
        <f>F67/$C$11/12</f>
        <v>0.02716643741403026</v>
      </c>
      <c r="H67" s="113">
        <f>C67-F67</f>
        <v>5526</v>
      </c>
      <c r="I67" s="114">
        <f>H67/($C$12-$C$11)/12</f>
        <v>0.027144120247568525</v>
      </c>
      <c r="J67" s="126"/>
    </row>
    <row r="68" spans="1:10" ht="12.75">
      <c r="A68" s="97" t="s">
        <v>184</v>
      </c>
      <c r="B68" s="66" t="s">
        <v>73</v>
      </c>
      <c r="C68" s="50">
        <v>15000</v>
      </c>
      <c r="D68" s="50">
        <f>C68/12</f>
        <v>1250</v>
      </c>
      <c r="E68" s="53">
        <f t="shared" si="9"/>
        <v>0.06786470492426298</v>
      </c>
      <c r="F68" s="50">
        <f>ROUND(C68*$D$11,0)</f>
        <v>1184</v>
      </c>
      <c r="G68" s="53">
        <f>F68/$C$11/12</f>
        <v>0.06785878037597433</v>
      </c>
      <c r="H68" s="50">
        <f>C68-F68</f>
        <v>13816</v>
      </c>
      <c r="I68" s="53">
        <f>H68/($C$12-$C$11)/12</f>
        <v>0.0678652126927989</v>
      </c>
      <c r="J68" s="133" t="s">
        <v>151</v>
      </c>
    </row>
    <row r="69" spans="1:10" ht="25.5">
      <c r="A69" s="97" t="s">
        <v>185</v>
      </c>
      <c r="B69" s="65" t="s">
        <v>132</v>
      </c>
      <c r="C69" s="50">
        <v>75000</v>
      </c>
      <c r="D69" s="50">
        <f>C69/12</f>
        <v>6250</v>
      </c>
      <c r="E69" s="53">
        <f t="shared" si="9"/>
        <v>0.33932352462131493</v>
      </c>
      <c r="F69" s="70"/>
      <c r="G69" s="71"/>
      <c r="H69" s="71"/>
      <c r="I69" s="71"/>
      <c r="J69" s="135"/>
    </row>
    <row r="70" spans="1:10" ht="12.75">
      <c r="A70" s="97" t="s">
        <v>186</v>
      </c>
      <c r="B70" s="66" t="s">
        <v>130</v>
      </c>
      <c r="C70" s="50">
        <v>5000</v>
      </c>
      <c r="D70" s="50"/>
      <c r="E70" s="53">
        <f t="shared" si="9"/>
        <v>0.02262156830808766</v>
      </c>
      <c r="F70" s="70"/>
      <c r="G70" s="71"/>
      <c r="H70" s="71"/>
      <c r="I70" s="71"/>
      <c r="J70" s="135"/>
    </row>
    <row r="71" spans="1:10" ht="12.75">
      <c r="A71" s="107" t="s">
        <v>187</v>
      </c>
      <c r="B71" s="108" t="s">
        <v>177</v>
      </c>
      <c r="C71" s="109">
        <v>10000</v>
      </c>
      <c r="D71" s="109"/>
      <c r="E71" s="53">
        <f t="shared" si="9"/>
        <v>0.04524313661617532</v>
      </c>
      <c r="F71" s="72"/>
      <c r="G71" s="110"/>
      <c r="H71" s="110"/>
      <c r="I71" s="110"/>
      <c r="J71" s="134"/>
    </row>
    <row r="72" spans="1:10" ht="25.5">
      <c r="A72" s="97" t="s">
        <v>188</v>
      </c>
      <c r="B72" s="93" t="s">
        <v>197</v>
      </c>
      <c r="C72" s="50">
        <v>40000</v>
      </c>
      <c r="D72" s="50"/>
      <c r="E72" s="53">
        <f t="shared" si="9"/>
        <v>0.1809725464647013</v>
      </c>
      <c r="F72" s="50">
        <f>ROUND(C72*$D$11,0)</f>
        <v>3158</v>
      </c>
      <c r="G72" s="53">
        <f>F72/$C$11/12</f>
        <v>0.18099495644199906</v>
      </c>
      <c r="H72" s="50">
        <f>C72-F72</f>
        <v>36842</v>
      </c>
      <c r="I72" s="53">
        <f>H72/($C$12-$C$11)/12</f>
        <v>0.180970625798212</v>
      </c>
      <c r="J72" s="73" t="s">
        <v>139</v>
      </c>
    </row>
    <row r="73" spans="1:10" ht="24.75" customHeight="1">
      <c r="A73" s="136" t="s">
        <v>172</v>
      </c>
      <c r="B73" s="137"/>
      <c r="C73" s="118"/>
      <c r="D73" s="118"/>
      <c r="E73" s="71"/>
      <c r="F73" s="119"/>
      <c r="G73" s="71"/>
      <c r="H73" s="71"/>
      <c r="I73" s="71"/>
      <c r="J73" s="120"/>
    </row>
    <row r="74" spans="1:10" ht="12.75">
      <c r="A74" s="111" t="s">
        <v>189</v>
      </c>
      <c r="B74" s="112" t="s">
        <v>62</v>
      </c>
      <c r="C74" s="113">
        <f>SUM('штатное '!J40:J42)*12</f>
        <v>445551.6</v>
      </c>
      <c r="D74" s="113">
        <f>C74/12</f>
        <v>37129.299999999996</v>
      </c>
      <c r="E74" s="53">
        <f aca="true" t="shared" si="10" ref="E74:E79">C74/$C$12/12</f>
        <v>2.0158151908355504</v>
      </c>
      <c r="F74" s="115"/>
      <c r="G74" s="116"/>
      <c r="H74" s="116"/>
      <c r="I74" s="116"/>
      <c r="J74" s="117" t="s">
        <v>138</v>
      </c>
    </row>
    <row r="75" spans="1:10" ht="25.5">
      <c r="A75" s="105" t="s">
        <v>190</v>
      </c>
      <c r="B75" s="66" t="s">
        <v>66</v>
      </c>
      <c r="C75" s="50">
        <v>8720</v>
      </c>
      <c r="D75" s="50">
        <f>C75/12</f>
        <v>726.6666666666666</v>
      </c>
      <c r="E75" s="53">
        <f t="shared" si="10"/>
        <v>0.039452015129304886</v>
      </c>
      <c r="F75" s="70"/>
      <c r="G75" s="71"/>
      <c r="H75" s="71"/>
      <c r="I75" s="71"/>
      <c r="J75" s="84" t="s">
        <v>137</v>
      </c>
    </row>
    <row r="76" spans="1:10" ht="12.75">
      <c r="A76" s="106" t="s">
        <v>191</v>
      </c>
      <c r="B76" s="102" t="s">
        <v>147</v>
      </c>
      <c r="C76" s="103">
        <v>207060.48</v>
      </c>
      <c r="D76" s="103">
        <f>C76/12</f>
        <v>17255.04</v>
      </c>
      <c r="E76" s="53">
        <f t="shared" si="10"/>
        <v>0.9368065584450839</v>
      </c>
      <c r="F76" s="70"/>
      <c r="G76" s="71"/>
      <c r="H76" s="71"/>
      <c r="I76" s="71"/>
      <c r="J76" s="84" t="s">
        <v>137</v>
      </c>
    </row>
    <row r="77" spans="1:10" ht="12.75">
      <c r="A77" s="105" t="s">
        <v>192</v>
      </c>
      <c r="B77" s="66" t="s">
        <v>128</v>
      </c>
      <c r="C77" s="50">
        <f>F77+H77</f>
        <v>14200</v>
      </c>
      <c r="D77" s="50">
        <f>C77/9</f>
        <v>1577.7777777777778</v>
      </c>
      <c r="E77" s="53">
        <f t="shared" si="10"/>
        <v>0.06424525399496896</v>
      </c>
      <c r="F77" s="50">
        <v>14200</v>
      </c>
      <c r="G77" s="53">
        <f>F77/$C$11/12</f>
        <v>0.8138468592388812</v>
      </c>
      <c r="H77" s="50"/>
      <c r="I77" s="128"/>
      <c r="J77" s="133" t="s">
        <v>151</v>
      </c>
    </row>
    <row r="78" spans="1:10" ht="12.75">
      <c r="A78" s="106" t="s">
        <v>193</v>
      </c>
      <c r="B78" s="93" t="s">
        <v>195</v>
      </c>
      <c r="C78" s="50">
        <v>7000</v>
      </c>
      <c r="D78" s="50"/>
      <c r="E78" s="53">
        <f t="shared" si="10"/>
        <v>0.03167019563132273</v>
      </c>
      <c r="F78" s="63"/>
      <c r="G78" s="63"/>
      <c r="H78" s="63"/>
      <c r="I78" s="63"/>
      <c r="J78" s="134"/>
    </row>
    <row r="79" spans="1:10" ht="12.75">
      <c r="A79" s="105" t="s">
        <v>194</v>
      </c>
      <c r="B79" s="93" t="s">
        <v>78</v>
      </c>
      <c r="C79" s="50">
        <v>80000</v>
      </c>
      <c r="D79" s="50"/>
      <c r="E79" s="53">
        <f t="shared" si="10"/>
        <v>0.3619450929294026</v>
      </c>
      <c r="F79" s="70"/>
      <c r="G79" s="71"/>
      <c r="H79" s="71"/>
      <c r="I79" s="71"/>
      <c r="J79" s="84"/>
    </row>
    <row r="80" spans="1:10" ht="12.75">
      <c r="A80" s="44" t="s">
        <v>35</v>
      </c>
      <c r="B80" s="31" t="s">
        <v>201</v>
      </c>
      <c r="C80" s="11">
        <f>SUM(C81:C87)</f>
        <v>346000</v>
      </c>
      <c r="D80" s="11">
        <f>C80/12</f>
        <v>28833.333333333332</v>
      </c>
      <c r="E80" s="49">
        <f>C80/$C$12/12</f>
        <v>1.5654125269196664</v>
      </c>
      <c r="F80" s="62"/>
      <c r="G80" s="62"/>
      <c r="H80" s="62"/>
      <c r="I80" s="62"/>
      <c r="J80" s="85"/>
    </row>
    <row r="81" spans="1:10" ht="25.5">
      <c r="A81" s="105" t="s">
        <v>198</v>
      </c>
      <c r="B81" s="66" t="s">
        <v>131</v>
      </c>
      <c r="C81" s="50">
        <v>60000</v>
      </c>
      <c r="D81" s="50"/>
      <c r="E81" s="53">
        <f aca="true" t="shared" si="11" ref="E81:E86">C81/$C$12/12</f>
        <v>0.27145881969705193</v>
      </c>
      <c r="F81" s="63" t="s">
        <v>141</v>
      </c>
      <c r="G81" s="63"/>
      <c r="H81" s="63"/>
      <c r="I81" s="63"/>
      <c r="J81" s="85"/>
    </row>
    <row r="82" spans="1:10" ht="12.75">
      <c r="A82" s="105" t="s">
        <v>199</v>
      </c>
      <c r="B82" s="93" t="s">
        <v>176</v>
      </c>
      <c r="C82" s="50">
        <v>12000</v>
      </c>
      <c r="D82" s="50"/>
      <c r="E82" s="53">
        <f t="shared" si="11"/>
        <v>0.054291763939410397</v>
      </c>
      <c r="F82" s="63"/>
      <c r="G82" s="63"/>
      <c r="H82" s="63"/>
      <c r="I82" s="63"/>
      <c r="J82" s="85"/>
    </row>
    <row r="83" spans="1:10" ht="25.5">
      <c r="A83" s="105" t="s">
        <v>200</v>
      </c>
      <c r="B83" s="93" t="s">
        <v>228</v>
      </c>
      <c r="C83" s="50">
        <v>20000</v>
      </c>
      <c r="D83" s="50"/>
      <c r="E83" s="53">
        <f t="shared" si="11"/>
        <v>0.09048627323235064</v>
      </c>
      <c r="F83" s="63"/>
      <c r="G83" s="63"/>
      <c r="H83" s="63"/>
      <c r="I83" s="63"/>
      <c r="J83" s="85"/>
    </row>
    <row r="84" spans="1:10" ht="12.75">
      <c r="A84" s="105" t="s">
        <v>229</v>
      </c>
      <c r="B84" s="93" t="s">
        <v>234</v>
      </c>
      <c r="C84" s="50">
        <v>10000</v>
      </c>
      <c r="D84" s="50"/>
      <c r="E84" s="53">
        <f t="shared" si="11"/>
        <v>0.04524313661617532</v>
      </c>
      <c r="F84" s="63"/>
      <c r="G84" s="63"/>
      <c r="H84" s="63"/>
      <c r="I84" s="63"/>
      <c r="J84" s="85"/>
    </row>
    <row r="85" spans="1:10" ht="12.75">
      <c r="A85" s="105" t="s">
        <v>230</v>
      </c>
      <c r="B85" s="93" t="s">
        <v>208</v>
      </c>
      <c r="C85" s="50">
        <v>30000</v>
      </c>
      <c r="D85" s="50"/>
      <c r="E85" s="53">
        <f t="shared" si="11"/>
        <v>0.13572940984852597</v>
      </c>
      <c r="F85" s="89" t="s">
        <v>139</v>
      </c>
      <c r="G85" s="63"/>
      <c r="H85" s="63"/>
      <c r="I85" s="63"/>
      <c r="J85" s="85"/>
    </row>
    <row r="86" spans="1:10" ht="25.5">
      <c r="A86" s="105" t="s">
        <v>231</v>
      </c>
      <c r="B86" s="94" t="s">
        <v>150</v>
      </c>
      <c r="C86" s="50">
        <v>214000</v>
      </c>
      <c r="D86" s="50"/>
      <c r="E86" s="53">
        <f t="shared" si="11"/>
        <v>0.968203123586152</v>
      </c>
      <c r="F86" s="70"/>
      <c r="G86" s="71"/>
      <c r="H86" s="71"/>
      <c r="I86" s="71"/>
      <c r="J86" s="127"/>
    </row>
    <row r="87" spans="1:10" ht="12.75">
      <c r="A87" s="105"/>
      <c r="B87" s="94"/>
      <c r="C87" s="50"/>
      <c r="D87" s="50"/>
      <c r="E87" s="53"/>
      <c r="F87" s="62"/>
      <c r="G87" s="63"/>
      <c r="H87" s="63"/>
      <c r="I87" s="63"/>
      <c r="J87" s="127"/>
    </row>
    <row r="88" spans="1:10" ht="12.75">
      <c r="A88" s="44" t="s">
        <v>36</v>
      </c>
      <c r="B88" s="31" t="s">
        <v>196</v>
      </c>
      <c r="C88" s="11">
        <f>SUM(C89:C90)</f>
        <v>124000</v>
      </c>
      <c r="D88" s="11">
        <f>C88/12</f>
        <v>10333.333333333334</v>
      </c>
      <c r="E88" s="49">
        <f>C88/$C$12/12</f>
        <v>0.561014894040574</v>
      </c>
      <c r="F88" s="62"/>
      <c r="G88" s="62"/>
      <c r="H88" s="62"/>
      <c r="I88" s="62"/>
      <c r="J88" s="85"/>
    </row>
    <row r="89" spans="1:10" ht="25.5">
      <c r="A89" s="97" t="s">
        <v>202</v>
      </c>
      <c r="B89" s="93" t="s">
        <v>178</v>
      </c>
      <c r="C89" s="50">
        <v>74000</v>
      </c>
      <c r="D89" s="50"/>
      <c r="E89" s="53">
        <f>C89/$C$12/12</f>
        <v>0.3347992109596974</v>
      </c>
      <c r="F89" s="63"/>
      <c r="G89" s="63"/>
      <c r="H89" s="63"/>
      <c r="I89" s="63"/>
      <c r="J89" s="85"/>
    </row>
    <row r="90" spans="1:10" ht="25.5">
      <c r="A90" s="97" t="s">
        <v>203</v>
      </c>
      <c r="B90" s="93" t="s">
        <v>232</v>
      </c>
      <c r="C90" s="50">
        <v>50000</v>
      </c>
      <c r="D90" s="50"/>
      <c r="E90" s="53">
        <f>C90/$C$12/12</f>
        <v>0.2262156830808766</v>
      </c>
      <c r="F90" s="63"/>
      <c r="G90" s="63"/>
      <c r="H90" s="63"/>
      <c r="I90" s="63"/>
      <c r="J90" s="85"/>
    </row>
    <row r="91" spans="1:10" ht="12.75">
      <c r="A91" s="44" t="s">
        <v>56</v>
      </c>
      <c r="B91" s="31" t="s">
        <v>233</v>
      </c>
      <c r="C91" s="11">
        <v>50000</v>
      </c>
      <c r="D91" s="11"/>
      <c r="E91" s="49">
        <f>C91/$C$12/12</f>
        <v>0.2262156830808766</v>
      </c>
      <c r="F91" s="64"/>
      <c r="G91" s="64"/>
      <c r="H91" s="64"/>
      <c r="I91" s="64"/>
      <c r="J91" s="90"/>
    </row>
    <row r="92" spans="1:10" ht="12.75">
      <c r="A92" s="130" t="s">
        <v>206</v>
      </c>
      <c r="B92" s="131" t="s">
        <v>207</v>
      </c>
      <c r="C92" s="47">
        <f>'штатное '!K23</f>
        <v>0</v>
      </c>
      <c r="D92" s="47"/>
      <c r="E92" s="49">
        <f>C92/$C$12/12</f>
        <v>0</v>
      </c>
      <c r="F92" s="64"/>
      <c r="G92" s="64"/>
      <c r="H92" s="64"/>
      <c r="I92" s="64"/>
      <c r="J92" s="90"/>
    </row>
    <row r="93" spans="1:10" s="4" customFormat="1" ht="12.75">
      <c r="A93" s="46"/>
      <c r="B93" s="61" t="s">
        <v>9</v>
      </c>
      <c r="C93" s="47">
        <f>C34+C50+C88+C80+C91+C92</f>
        <v>4275872.32</v>
      </c>
      <c r="D93" s="47"/>
      <c r="E93" s="49"/>
      <c r="F93" s="7"/>
      <c r="G93" s="7"/>
      <c r="H93" s="7"/>
      <c r="I93" s="7"/>
      <c r="J93" s="91"/>
    </row>
    <row r="94" spans="2:9" ht="12.75">
      <c r="B94" s="38" t="s">
        <v>32</v>
      </c>
      <c r="C94" s="1">
        <f>C30-C93</f>
        <v>0</v>
      </c>
      <c r="D94" s="1"/>
      <c r="E94" s="1"/>
      <c r="F94" s="1"/>
      <c r="G94" s="1"/>
      <c r="H94" s="1"/>
      <c r="I94" s="1"/>
    </row>
  </sheetData>
  <sheetProtection/>
  <mergeCells count="18">
    <mergeCell ref="A19:A21"/>
    <mergeCell ref="J19:J21"/>
    <mergeCell ref="C19:E19"/>
    <mergeCell ref="F19:I19"/>
    <mergeCell ref="F20:G20"/>
    <mergeCell ref="H20:I20"/>
    <mergeCell ref="J54:J55"/>
    <mergeCell ref="D12:E12"/>
    <mergeCell ref="B19:B21"/>
    <mergeCell ref="D8:E8"/>
    <mergeCell ref="D9:E9"/>
    <mergeCell ref="D10:E10"/>
    <mergeCell ref="D11:E11"/>
    <mergeCell ref="J35:J36"/>
    <mergeCell ref="J77:J78"/>
    <mergeCell ref="J68:J71"/>
    <mergeCell ref="A73:B73"/>
    <mergeCell ref="A66:B66"/>
  </mergeCells>
  <printOptions horizontalCentered="1"/>
  <pageMargins left="0.1968503937007874" right="0.1968503937007874" top="0.5905511811023623" bottom="0.5905511811023623" header="0.5118110236220472" footer="0.5118110236220472"/>
  <pageSetup fitToHeight="3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PageLayoutView="0" workbookViewId="0" topLeftCell="A1">
      <selection activeCell="B9" sqref="B9"/>
    </sheetView>
  </sheetViews>
  <sheetFormatPr defaultColWidth="9.00390625" defaultRowHeight="12.75" outlineLevelRow="1"/>
  <cols>
    <col min="1" max="1" width="32.125" style="0" customWidth="1"/>
    <col min="2" max="2" width="10.75390625" style="0" bestFit="1" customWidth="1"/>
    <col min="3" max="3" width="10.25390625" style="0" bestFit="1" customWidth="1"/>
    <col min="4" max="4" width="9.875" style="0" bestFit="1" customWidth="1"/>
    <col min="5" max="5" width="8.125" style="0" bestFit="1" customWidth="1"/>
    <col min="6" max="9" width="11.125" style="0" customWidth="1"/>
    <col min="10" max="11" width="13.375" style="0" customWidth="1"/>
    <col min="12" max="12" width="18.00390625" style="0" bestFit="1" customWidth="1"/>
    <col min="13" max="13" width="12.875" style="0" customWidth="1"/>
  </cols>
  <sheetData>
    <row r="2" ht="12.75">
      <c r="H2" s="69"/>
    </row>
    <row r="3" ht="12.75">
      <c r="A3" t="s">
        <v>153</v>
      </c>
    </row>
    <row r="5" spans="1:13" ht="51">
      <c r="A5" s="16" t="s">
        <v>10</v>
      </c>
      <c r="B5" s="16" t="s">
        <v>46</v>
      </c>
      <c r="C5" s="16" t="s">
        <v>11</v>
      </c>
      <c r="D5" s="16" t="s">
        <v>16</v>
      </c>
      <c r="E5" s="16" t="s">
        <v>144</v>
      </c>
      <c r="F5" s="16" t="s">
        <v>60</v>
      </c>
      <c r="G5" s="16" t="s">
        <v>58</v>
      </c>
      <c r="H5" s="16" t="s">
        <v>146</v>
      </c>
      <c r="I5" s="16" t="s">
        <v>40</v>
      </c>
      <c r="J5" s="16" t="s">
        <v>61</v>
      </c>
      <c r="K5" s="16" t="s">
        <v>77</v>
      </c>
      <c r="L5" s="17" t="s">
        <v>57</v>
      </c>
      <c r="M5" s="17" t="s">
        <v>12</v>
      </c>
    </row>
    <row r="6" spans="1:13" ht="12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19"/>
      <c r="M6" s="19"/>
    </row>
    <row r="7" spans="1:13" ht="12.75">
      <c r="A7" s="18">
        <v>1</v>
      </c>
      <c r="B7" s="18">
        <v>2</v>
      </c>
      <c r="C7" s="18">
        <v>3</v>
      </c>
      <c r="D7" s="18">
        <v>4</v>
      </c>
      <c r="E7" s="18"/>
      <c r="F7" s="18"/>
      <c r="G7" s="18"/>
      <c r="H7" s="18"/>
      <c r="I7" s="18"/>
      <c r="J7" s="18"/>
      <c r="K7" s="18"/>
      <c r="L7" s="18">
        <v>5</v>
      </c>
      <c r="M7" s="18">
        <v>6</v>
      </c>
    </row>
    <row r="8" spans="1:13" ht="12.75">
      <c r="A8" s="20" t="s">
        <v>81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9"/>
      <c r="M8" s="19"/>
    </row>
    <row r="9" spans="1:13" ht="12.75">
      <c r="A9" s="25" t="s">
        <v>14</v>
      </c>
      <c r="B9" s="22">
        <v>0.5</v>
      </c>
      <c r="C9" s="23">
        <f>18410</f>
        <v>18410</v>
      </c>
      <c r="D9" s="23">
        <f>B9*C9</f>
        <v>9205</v>
      </c>
      <c r="E9" s="23"/>
      <c r="F9" s="23">
        <f>SUM(D9:E9)</f>
        <v>9205</v>
      </c>
      <c r="G9" s="23">
        <f>F9*0.15</f>
        <v>1380.75</v>
      </c>
      <c r="H9" s="23">
        <f>F9*0.202</f>
        <v>1859.41</v>
      </c>
      <c r="I9" s="23"/>
      <c r="J9" s="23">
        <f>SUM(F9:I9)</f>
        <v>12445.16</v>
      </c>
      <c r="K9" s="23">
        <f>J9*12</f>
        <v>149341.91999999998</v>
      </c>
      <c r="L9" s="25" t="s">
        <v>114</v>
      </c>
      <c r="M9" s="24" t="s">
        <v>59</v>
      </c>
    </row>
    <row r="10" spans="1:13" ht="12.75">
      <c r="A10" s="25" t="s">
        <v>82</v>
      </c>
      <c r="B10" s="22">
        <v>0.5</v>
      </c>
      <c r="C10" s="23">
        <v>19000</v>
      </c>
      <c r="D10" s="23">
        <f>B10*C10</f>
        <v>9500</v>
      </c>
      <c r="E10" s="23">
        <f>D10*0.3</f>
        <v>2850</v>
      </c>
      <c r="F10" s="23">
        <f>SUM(D10:E10)</f>
        <v>12350</v>
      </c>
      <c r="G10" s="23">
        <f>F10*0.15</f>
        <v>1852.5</v>
      </c>
      <c r="H10" s="23">
        <f>F10*0.202</f>
        <v>2494.7000000000003</v>
      </c>
      <c r="I10" s="23"/>
      <c r="J10" s="23">
        <f>SUM(F10:I10)</f>
        <v>16697.2</v>
      </c>
      <c r="K10" s="23">
        <f>J10*12</f>
        <v>200366.40000000002</v>
      </c>
      <c r="L10" s="25" t="s">
        <v>149</v>
      </c>
      <c r="M10" s="24" t="s">
        <v>59</v>
      </c>
    </row>
    <row r="11" spans="1:13" ht="12.75" hidden="1" outlineLevel="1">
      <c r="A11" s="25" t="s">
        <v>91</v>
      </c>
      <c r="B11" s="22"/>
      <c r="C11" s="23">
        <v>15000</v>
      </c>
      <c r="D11" s="23">
        <f>B11*C11</f>
        <v>0</v>
      </c>
      <c r="E11" s="23">
        <f>D11*0.3</f>
        <v>0</v>
      </c>
      <c r="F11" s="23">
        <f>SUM(D11:E11)</f>
        <v>0</v>
      </c>
      <c r="G11" s="23">
        <f>F11*0.15</f>
        <v>0</v>
      </c>
      <c r="H11" s="23">
        <f>F11*0.262</f>
        <v>0</v>
      </c>
      <c r="I11" s="23">
        <f>SUM(F11:H11)/12</f>
        <v>0</v>
      </c>
      <c r="J11" s="23">
        <f>SUM(F11:I11)</f>
        <v>0</v>
      </c>
      <c r="K11" s="23">
        <f>J11*12</f>
        <v>0</v>
      </c>
      <c r="L11" s="25"/>
      <c r="M11" s="24" t="s">
        <v>59</v>
      </c>
    </row>
    <row r="12" spans="1:13" ht="12.75" hidden="1" outlineLevel="1">
      <c r="A12" s="25" t="s">
        <v>92</v>
      </c>
      <c r="B12" s="22"/>
      <c r="C12" s="23">
        <v>10000</v>
      </c>
      <c r="D12" s="23">
        <f>B12*C12</f>
        <v>0</v>
      </c>
      <c r="E12" s="23">
        <f>D12*0.3</f>
        <v>0</v>
      </c>
      <c r="F12" s="23">
        <f>SUM(D12:E12)</f>
        <v>0</v>
      </c>
      <c r="G12" s="23">
        <f>F12*0.15</f>
        <v>0</v>
      </c>
      <c r="H12" s="23">
        <f>F12*0.262</f>
        <v>0</v>
      </c>
      <c r="I12" s="23">
        <f>SUM(F12:H12)/12</f>
        <v>0</v>
      </c>
      <c r="J12" s="23">
        <f>SUM(F12:I12)</f>
        <v>0</v>
      </c>
      <c r="K12" s="23">
        <f>J12*12</f>
        <v>0</v>
      </c>
      <c r="L12" s="25"/>
      <c r="M12" s="24" t="s">
        <v>59</v>
      </c>
    </row>
    <row r="13" spans="1:13" ht="12.75" collapsed="1">
      <c r="A13" s="25"/>
      <c r="B13" s="22"/>
      <c r="C13" s="23"/>
      <c r="D13" s="23"/>
      <c r="E13" s="23"/>
      <c r="F13" s="23"/>
      <c r="G13" s="23"/>
      <c r="H13" s="23"/>
      <c r="I13" s="23"/>
      <c r="J13" s="23"/>
      <c r="K13" s="56">
        <f>SUM(K9:K12)</f>
        <v>349708.32</v>
      </c>
      <c r="L13" s="25"/>
      <c r="M13" s="24"/>
    </row>
    <row r="14" spans="1:13" ht="12.75" hidden="1" outlineLevel="1">
      <c r="A14" s="20" t="s">
        <v>205</v>
      </c>
      <c r="B14" s="22"/>
      <c r="C14" s="23"/>
      <c r="D14" s="23"/>
      <c r="E14" s="23"/>
      <c r="F14" s="23"/>
      <c r="G14" s="23"/>
      <c r="H14" s="23"/>
      <c r="I14" s="23"/>
      <c r="J14" s="23"/>
      <c r="K14" s="56"/>
      <c r="L14" s="25"/>
      <c r="M14" s="24"/>
    </row>
    <row r="15" spans="1:13" ht="12.75" hidden="1" outlineLevel="1">
      <c r="A15" s="25" t="s">
        <v>85</v>
      </c>
      <c r="B15" s="22"/>
      <c r="C15" s="23">
        <v>1000</v>
      </c>
      <c r="D15" s="23">
        <f aca="true" t="shared" si="0" ref="D15:D21">B15*C15</f>
        <v>0</v>
      </c>
      <c r="E15" s="23"/>
      <c r="F15" s="23">
        <f aca="true" t="shared" si="1" ref="F15:F21">SUM(D15:E15)</f>
        <v>0</v>
      </c>
      <c r="G15" s="23">
        <f aca="true" t="shared" si="2" ref="G15:G22">F15*0.15</f>
        <v>0</v>
      </c>
      <c r="H15" s="23"/>
      <c r="I15" s="23"/>
      <c r="J15" s="23">
        <f aca="true" t="shared" si="3" ref="J15:J21">SUM(F15:I15)</f>
        <v>0</v>
      </c>
      <c r="K15" s="23">
        <f aca="true" t="shared" si="4" ref="K15:K22">J15*12</f>
        <v>0</v>
      </c>
      <c r="L15" s="25" t="s">
        <v>209</v>
      </c>
      <c r="M15" s="24" t="s">
        <v>212</v>
      </c>
    </row>
    <row r="16" spans="1:13" ht="12.75" hidden="1" outlineLevel="1">
      <c r="A16" s="25" t="s">
        <v>85</v>
      </c>
      <c r="B16" s="22"/>
      <c r="C16" s="23">
        <v>1000</v>
      </c>
      <c r="D16" s="23">
        <f t="shared" si="0"/>
        <v>0</v>
      </c>
      <c r="E16" s="23"/>
      <c r="F16" s="23">
        <f t="shared" si="1"/>
        <v>0</v>
      </c>
      <c r="G16" s="23">
        <f t="shared" si="2"/>
        <v>0</v>
      </c>
      <c r="H16" s="23"/>
      <c r="I16" s="23"/>
      <c r="J16" s="23">
        <f t="shared" si="3"/>
        <v>0</v>
      </c>
      <c r="K16" s="23">
        <f t="shared" si="4"/>
        <v>0</v>
      </c>
      <c r="L16" s="25" t="s">
        <v>210</v>
      </c>
      <c r="M16" s="24" t="s">
        <v>213</v>
      </c>
    </row>
    <row r="17" spans="1:13" ht="12.75" hidden="1" outlineLevel="1">
      <c r="A17" s="25" t="s">
        <v>85</v>
      </c>
      <c r="B17" s="22"/>
      <c r="C17" s="23">
        <v>1000</v>
      </c>
      <c r="D17" s="23">
        <f t="shared" si="0"/>
        <v>0</v>
      </c>
      <c r="E17" s="23"/>
      <c r="F17" s="23">
        <f t="shared" si="1"/>
        <v>0</v>
      </c>
      <c r="G17" s="23">
        <f t="shared" si="2"/>
        <v>0</v>
      </c>
      <c r="H17" s="23"/>
      <c r="I17" s="23"/>
      <c r="J17" s="23">
        <f t="shared" si="3"/>
        <v>0</v>
      </c>
      <c r="K17" s="23">
        <f t="shared" si="4"/>
        <v>0</v>
      </c>
      <c r="L17" s="25" t="s">
        <v>211</v>
      </c>
      <c r="M17" s="24" t="s">
        <v>214</v>
      </c>
    </row>
    <row r="18" spans="1:13" ht="12.75" hidden="1" outlineLevel="1">
      <c r="A18" s="25" t="s">
        <v>85</v>
      </c>
      <c r="B18" s="22"/>
      <c r="C18" s="23">
        <v>1000</v>
      </c>
      <c r="D18" s="23">
        <f t="shared" si="0"/>
        <v>0</v>
      </c>
      <c r="E18" s="23"/>
      <c r="F18" s="23">
        <f t="shared" si="1"/>
        <v>0</v>
      </c>
      <c r="G18" s="23">
        <f t="shared" si="2"/>
        <v>0</v>
      </c>
      <c r="H18" s="23"/>
      <c r="I18" s="23"/>
      <c r="J18" s="23">
        <f t="shared" si="3"/>
        <v>0</v>
      </c>
      <c r="K18" s="23">
        <f t="shared" si="4"/>
        <v>0</v>
      </c>
      <c r="L18" s="25" t="s">
        <v>215</v>
      </c>
      <c r="M18" s="132" t="s">
        <v>224</v>
      </c>
    </row>
    <row r="19" spans="1:13" ht="12.75" hidden="1" outlineLevel="1">
      <c r="A19" s="25" t="s">
        <v>85</v>
      </c>
      <c r="B19" s="22"/>
      <c r="C19" s="23">
        <v>1000</v>
      </c>
      <c r="D19" s="23">
        <f t="shared" si="0"/>
        <v>0</v>
      </c>
      <c r="E19" s="23"/>
      <c r="F19" s="23">
        <f t="shared" si="1"/>
        <v>0</v>
      </c>
      <c r="G19" s="23">
        <f t="shared" si="2"/>
        <v>0</v>
      </c>
      <c r="H19" s="23"/>
      <c r="I19" s="23"/>
      <c r="J19" s="23">
        <f t="shared" si="3"/>
        <v>0</v>
      </c>
      <c r="K19" s="23">
        <f t="shared" si="4"/>
        <v>0</v>
      </c>
      <c r="L19" s="25" t="s">
        <v>216</v>
      </c>
      <c r="M19" s="24" t="s">
        <v>220</v>
      </c>
    </row>
    <row r="20" spans="1:13" ht="12.75" hidden="1" outlineLevel="1">
      <c r="A20" s="25" t="s">
        <v>85</v>
      </c>
      <c r="B20" s="22"/>
      <c r="C20" s="23">
        <v>1000</v>
      </c>
      <c r="D20" s="23">
        <f t="shared" si="0"/>
        <v>0</v>
      </c>
      <c r="E20" s="23"/>
      <c r="F20" s="23">
        <f t="shared" si="1"/>
        <v>0</v>
      </c>
      <c r="G20" s="23">
        <f t="shared" si="2"/>
        <v>0</v>
      </c>
      <c r="H20" s="23"/>
      <c r="I20" s="23"/>
      <c r="J20" s="23">
        <f t="shared" si="3"/>
        <v>0</v>
      </c>
      <c r="K20" s="23">
        <f t="shared" si="4"/>
        <v>0</v>
      </c>
      <c r="L20" s="25" t="s">
        <v>217</v>
      </c>
      <c r="M20" s="24" t="s">
        <v>221</v>
      </c>
    </row>
    <row r="21" spans="1:13" ht="12.75" hidden="1" outlineLevel="1">
      <c r="A21" s="25" t="s">
        <v>85</v>
      </c>
      <c r="B21" s="22"/>
      <c r="C21" s="23">
        <v>1000</v>
      </c>
      <c r="D21" s="23">
        <f t="shared" si="0"/>
        <v>0</v>
      </c>
      <c r="E21" s="23"/>
      <c r="F21" s="23">
        <f t="shared" si="1"/>
        <v>0</v>
      </c>
      <c r="G21" s="23">
        <f t="shared" si="2"/>
        <v>0</v>
      </c>
      <c r="H21" s="23"/>
      <c r="I21" s="23"/>
      <c r="J21" s="23">
        <f t="shared" si="3"/>
        <v>0</v>
      </c>
      <c r="K21" s="23">
        <f t="shared" si="4"/>
        <v>0</v>
      </c>
      <c r="L21" s="25" t="s">
        <v>218</v>
      </c>
      <c r="M21" s="24" t="s">
        <v>222</v>
      </c>
    </row>
    <row r="22" spans="1:13" ht="12.75" hidden="1" outlineLevel="1">
      <c r="A22" s="25" t="s">
        <v>85</v>
      </c>
      <c r="B22" s="22"/>
      <c r="C22" s="23">
        <v>1000</v>
      </c>
      <c r="D22" s="23">
        <f>B22*C22</f>
        <v>0</v>
      </c>
      <c r="E22" s="23"/>
      <c r="F22" s="23">
        <f>SUM(D22:E22)</f>
        <v>0</v>
      </c>
      <c r="G22" s="23">
        <f t="shared" si="2"/>
        <v>0</v>
      </c>
      <c r="H22" s="23"/>
      <c r="I22" s="23"/>
      <c r="J22" s="23">
        <f>SUM(F22:I22)</f>
        <v>0</v>
      </c>
      <c r="K22" s="23">
        <f t="shared" si="4"/>
        <v>0</v>
      </c>
      <c r="L22" s="25" t="s">
        <v>219</v>
      </c>
      <c r="M22" s="24" t="s">
        <v>223</v>
      </c>
    </row>
    <row r="23" spans="1:13" ht="12.75" hidden="1" outlineLevel="1">
      <c r="A23" s="25"/>
      <c r="B23" s="22"/>
      <c r="C23" s="23"/>
      <c r="D23" s="23"/>
      <c r="E23" s="23"/>
      <c r="F23" s="23"/>
      <c r="G23" s="23"/>
      <c r="H23" s="23"/>
      <c r="I23" s="23"/>
      <c r="J23" s="23"/>
      <c r="K23" s="56">
        <f>SUM(K15:K22)</f>
        <v>0</v>
      </c>
      <c r="L23" s="25"/>
      <c r="M23" s="24"/>
    </row>
    <row r="24" spans="1:13" ht="12.75" hidden="1" outlineLevel="1">
      <c r="A24" s="25"/>
      <c r="B24" s="22"/>
      <c r="C24" s="23"/>
      <c r="D24" s="23"/>
      <c r="E24" s="23"/>
      <c r="F24" s="23"/>
      <c r="G24" s="23"/>
      <c r="H24" s="23"/>
      <c r="I24" s="23"/>
      <c r="J24" s="23"/>
      <c r="K24" s="56"/>
      <c r="L24" s="25"/>
      <c r="M24" s="24"/>
    </row>
    <row r="25" spans="1:13" ht="12.75" collapsed="1">
      <c r="A25" s="67" t="s">
        <v>83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5"/>
      <c r="M25" s="24"/>
    </row>
    <row r="26" spans="1:13" ht="12.75">
      <c r="A26" s="25" t="s">
        <v>84</v>
      </c>
      <c r="B26" s="22">
        <v>1</v>
      </c>
      <c r="C26" s="23">
        <v>12000</v>
      </c>
      <c r="D26" s="23">
        <f aca="true" t="shared" si="5" ref="D26:D37">B26*C26</f>
        <v>12000</v>
      </c>
      <c r="E26" s="23">
        <f>D26*0.3</f>
        <v>3600</v>
      </c>
      <c r="F26" s="23">
        <f aca="true" t="shared" si="6" ref="F26:F37">SUM(D26:E26)</f>
        <v>15600</v>
      </c>
      <c r="G26" s="23">
        <f aca="true" t="shared" si="7" ref="G26:G41">F26*0.15</f>
        <v>2340</v>
      </c>
      <c r="H26" s="23">
        <f aca="true" t="shared" si="8" ref="H26:H31">F26*0.202</f>
        <v>3151.2000000000003</v>
      </c>
      <c r="I26" s="23">
        <f aca="true" t="shared" si="9" ref="I26:I37">SUM(F26:H26)/12</f>
        <v>1757.6000000000001</v>
      </c>
      <c r="J26" s="23">
        <f aca="true" t="shared" si="10" ref="J26:J37">SUM(F26:I26)</f>
        <v>22848.8</v>
      </c>
      <c r="K26" s="23">
        <f aca="true" t="shared" si="11" ref="K26:K42">J26*12</f>
        <v>274185.6</v>
      </c>
      <c r="L26" s="25" t="s">
        <v>90</v>
      </c>
      <c r="M26" s="24"/>
    </row>
    <row r="27" spans="1:13" ht="25.5">
      <c r="A27" s="25" t="s">
        <v>94</v>
      </c>
      <c r="B27" s="22">
        <v>0.5</v>
      </c>
      <c r="C27" s="23">
        <v>11000</v>
      </c>
      <c r="D27" s="23">
        <f t="shared" si="5"/>
        <v>5500</v>
      </c>
      <c r="E27" s="23">
        <f>D27*0.3</f>
        <v>1650</v>
      </c>
      <c r="F27" s="23">
        <f t="shared" si="6"/>
        <v>7150</v>
      </c>
      <c r="G27" s="23">
        <f t="shared" si="7"/>
        <v>1072.5</v>
      </c>
      <c r="H27" s="23">
        <f t="shared" si="8"/>
        <v>1444.3000000000002</v>
      </c>
      <c r="I27" s="23">
        <f t="shared" si="9"/>
        <v>805.5666666666666</v>
      </c>
      <c r="J27" s="23">
        <f t="shared" si="10"/>
        <v>10472.366666666665</v>
      </c>
      <c r="K27" s="23">
        <f t="shared" si="11"/>
        <v>125668.39999999998</v>
      </c>
      <c r="L27" s="25" t="s">
        <v>122</v>
      </c>
      <c r="M27" s="24" t="s">
        <v>59</v>
      </c>
    </row>
    <row r="28" spans="1:13" ht="12.75">
      <c r="A28" s="25" t="s">
        <v>87</v>
      </c>
      <c r="B28" s="22">
        <v>0.1</v>
      </c>
      <c r="C28" s="23">
        <v>15000</v>
      </c>
      <c r="D28" s="23">
        <f t="shared" si="5"/>
        <v>1500</v>
      </c>
      <c r="E28" s="23">
        <f>D28*0.3</f>
        <v>450</v>
      </c>
      <c r="F28" s="23">
        <f t="shared" si="6"/>
        <v>1950</v>
      </c>
      <c r="G28" s="23">
        <f t="shared" si="7"/>
        <v>292.5</v>
      </c>
      <c r="H28" s="23">
        <f t="shared" si="8"/>
        <v>393.90000000000003</v>
      </c>
      <c r="I28" s="23">
        <f t="shared" si="9"/>
        <v>219.70000000000002</v>
      </c>
      <c r="J28" s="23">
        <f t="shared" si="10"/>
        <v>2856.1</v>
      </c>
      <c r="K28" s="23">
        <f t="shared" si="11"/>
        <v>34273.2</v>
      </c>
      <c r="L28" s="25" t="s">
        <v>115</v>
      </c>
      <c r="M28" s="24" t="s">
        <v>59</v>
      </c>
    </row>
    <row r="29" spans="1:13" ht="12.75">
      <c r="A29" s="25" t="s">
        <v>86</v>
      </c>
      <c r="B29" s="22">
        <v>1</v>
      </c>
      <c r="C29" s="23">
        <v>13500</v>
      </c>
      <c r="D29" s="23">
        <f t="shared" si="5"/>
        <v>13500</v>
      </c>
      <c r="E29" s="23">
        <f>D29*0.3</f>
        <v>4050</v>
      </c>
      <c r="F29" s="23">
        <f t="shared" si="6"/>
        <v>17550</v>
      </c>
      <c r="G29" s="23">
        <f t="shared" si="7"/>
        <v>2632.5</v>
      </c>
      <c r="H29" s="23">
        <f t="shared" si="8"/>
        <v>3545.1000000000004</v>
      </c>
      <c r="I29" s="23">
        <f t="shared" si="9"/>
        <v>1977.3</v>
      </c>
      <c r="J29" s="23">
        <f t="shared" si="10"/>
        <v>25704.899999999998</v>
      </c>
      <c r="K29" s="23">
        <f t="shared" si="11"/>
        <v>308458.8</v>
      </c>
      <c r="L29" s="25" t="s">
        <v>116</v>
      </c>
      <c r="M29" s="24"/>
    </row>
    <row r="30" spans="1:13" ht="12.75">
      <c r="A30" s="25" t="s">
        <v>88</v>
      </c>
      <c r="B30" s="22">
        <v>0.5</v>
      </c>
      <c r="C30" s="23">
        <v>5000</v>
      </c>
      <c r="D30" s="23">
        <f t="shared" si="5"/>
        <v>2500</v>
      </c>
      <c r="E30" s="23">
        <f>D30*0.3</f>
        <v>750</v>
      </c>
      <c r="F30" s="23">
        <f t="shared" si="6"/>
        <v>3250</v>
      </c>
      <c r="G30" s="23">
        <f t="shared" si="7"/>
        <v>487.5</v>
      </c>
      <c r="H30" s="23">
        <f t="shared" si="8"/>
        <v>656.5</v>
      </c>
      <c r="I30" s="23">
        <f t="shared" si="9"/>
        <v>366.1666666666667</v>
      </c>
      <c r="J30" s="23">
        <f t="shared" si="10"/>
        <v>4760.166666666667</v>
      </c>
      <c r="K30" s="23">
        <f t="shared" si="11"/>
        <v>57122</v>
      </c>
      <c r="L30" s="25" t="s">
        <v>165</v>
      </c>
      <c r="M30" s="24" t="s">
        <v>59</v>
      </c>
    </row>
    <row r="31" spans="1:13" ht="12.75">
      <c r="A31" s="25" t="s">
        <v>93</v>
      </c>
      <c r="B31" s="22">
        <v>0.5</v>
      </c>
      <c r="C31" s="23">
        <v>10000</v>
      </c>
      <c r="D31" s="23">
        <f>B31*C31</f>
        <v>5000</v>
      </c>
      <c r="E31" s="23"/>
      <c r="F31" s="23">
        <f>SUM(D31:E31)</f>
        <v>5000</v>
      </c>
      <c r="G31" s="23">
        <f>F31*0.15</f>
        <v>750</v>
      </c>
      <c r="H31" s="23">
        <f t="shared" si="8"/>
        <v>1010.0000000000001</v>
      </c>
      <c r="I31" s="23">
        <f>SUM(F31:H31)/12</f>
        <v>563.3333333333334</v>
      </c>
      <c r="J31" s="23">
        <f>SUM(F31:I31)</f>
        <v>7323.333333333333</v>
      </c>
      <c r="K31" s="23">
        <f>J31*12</f>
        <v>87880</v>
      </c>
      <c r="L31" s="25" t="s">
        <v>90</v>
      </c>
      <c r="M31" s="24" t="s">
        <v>59</v>
      </c>
    </row>
    <row r="32" spans="1:13" ht="12.75">
      <c r="A32" s="25"/>
      <c r="B32" s="22"/>
      <c r="C32" s="23"/>
      <c r="D32" s="23"/>
      <c r="E32" s="23"/>
      <c r="F32" s="23"/>
      <c r="G32" s="23"/>
      <c r="H32" s="23"/>
      <c r="I32" s="23"/>
      <c r="J32" s="23"/>
      <c r="K32" s="56">
        <f>SUM(K26:K31)</f>
        <v>887588</v>
      </c>
      <c r="L32" s="25"/>
      <c r="M32" s="24"/>
    </row>
    <row r="33" spans="1:13" ht="12.75">
      <c r="A33" s="67" t="s">
        <v>99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5"/>
      <c r="M33" s="24"/>
    </row>
    <row r="34" spans="1:13" ht="25.5">
      <c r="A34" s="25" t="s">
        <v>89</v>
      </c>
      <c r="B34" s="22">
        <v>0.25</v>
      </c>
      <c r="C34" s="23">
        <v>8000</v>
      </c>
      <c r="D34" s="23">
        <f t="shared" si="5"/>
        <v>2000</v>
      </c>
      <c r="E34" s="23"/>
      <c r="F34" s="23">
        <f t="shared" si="6"/>
        <v>2000</v>
      </c>
      <c r="G34" s="23">
        <f t="shared" si="7"/>
        <v>300</v>
      </c>
      <c r="H34" s="23">
        <f>F34*0.202</f>
        <v>404</v>
      </c>
      <c r="I34" s="23">
        <f t="shared" si="9"/>
        <v>225.33333333333334</v>
      </c>
      <c r="J34" s="23">
        <f t="shared" si="10"/>
        <v>2929.3333333333335</v>
      </c>
      <c r="K34" s="23">
        <f t="shared" si="11"/>
        <v>35152</v>
      </c>
      <c r="L34" s="25" t="s">
        <v>117</v>
      </c>
      <c r="M34" s="24" t="s">
        <v>59</v>
      </c>
    </row>
    <row r="35" spans="1:13" ht="25.5">
      <c r="A35" s="25" t="s">
        <v>89</v>
      </c>
      <c r="B35" s="22">
        <v>0.25</v>
      </c>
      <c r="C35" s="23">
        <v>8000</v>
      </c>
      <c r="D35" s="23">
        <f t="shared" si="5"/>
        <v>2000</v>
      </c>
      <c r="E35" s="23"/>
      <c r="F35" s="23">
        <f t="shared" si="6"/>
        <v>2000</v>
      </c>
      <c r="G35" s="23">
        <f t="shared" si="7"/>
        <v>300</v>
      </c>
      <c r="H35" s="23">
        <f>F35*0.202</f>
        <v>404</v>
      </c>
      <c r="I35" s="23">
        <f t="shared" si="9"/>
        <v>225.33333333333334</v>
      </c>
      <c r="J35" s="23">
        <f t="shared" si="10"/>
        <v>2929.3333333333335</v>
      </c>
      <c r="K35" s="23">
        <f t="shared" si="11"/>
        <v>35152</v>
      </c>
      <c r="L35" s="25" t="s">
        <v>163</v>
      </c>
      <c r="M35" s="24" t="s">
        <v>59</v>
      </c>
    </row>
    <row r="36" spans="1:13" ht="25.5">
      <c r="A36" s="25" t="s">
        <v>89</v>
      </c>
      <c r="B36" s="22">
        <v>0.25</v>
      </c>
      <c r="C36" s="23">
        <v>8000</v>
      </c>
      <c r="D36" s="23">
        <f t="shared" si="5"/>
        <v>2000</v>
      </c>
      <c r="E36" s="23"/>
      <c r="F36" s="23">
        <f t="shared" si="6"/>
        <v>2000</v>
      </c>
      <c r="G36" s="23">
        <f t="shared" si="7"/>
        <v>300</v>
      </c>
      <c r="H36" s="23">
        <f>F36*0.202</f>
        <v>404</v>
      </c>
      <c r="I36" s="23">
        <f t="shared" si="9"/>
        <v>225.33333333333334</v>
      </c>
      <c r="J36" s="23">
        <f t="shared" si="10"/>
        <v>2929.3333333333335</v>
      </c>
      <c r="K36" s="23">
        <f t="shared" si="11"/>
        <v>35152</v>
      </c>
      <c r="L36" s="25" t="s">
        <v>118</v>
      </c>
      <c r="M36" s="24" t="s">
        <v>59</v>
      </c>
    </row>
    <row r="37" spans="1:13" ht="25.5">
      <c r="A37" s="25" t="s">
        <v>89</v>
      </c>
      <c r="B37" s="22"/>
      <c r="C37" s="23">
        <v>8000</v>
      </c>
      <c r="D37" s="23">
        <f t="shared" si="5"/>
        <v>0</v>
      </c>
      <c r="E37" s="23">
        <f>D37*0.3</f>
        <v>0</v>
      </c>
      <c r="F37" s="23">
        <f t="shared" si="6"/>
        <v>0</v>
      </c>
      <c r="G37" s="23">
        <f t="shared" si="7"/>
        <v>0</v>
      </c>
      <c r="H37" s="23">
        <f>F37*0.202</f>
        <v>0</v>
      </c>
      <c r="I37" s="23">
        <f t="shared" si="9"/>
        <v>0</v>
      </c>
      <c r="J37" s="23">
        <f t="shared" si="10"/>
        <v>0</v>
      </c>
      <c r="K37" s="23">
        <f t="shared" si="11"/>
        <v>0</v>
      </c>
      <c r="L37" s="25"/>
      <c r="M37" s="24"/>
    </row>
    <row r="38" spans="1:13" ht="12.75">
      <c r="A38" s="25"/>
      <c r="B38" s="22"/>
      <c r="C38" s="23"/>
      <c r="D38" s="23"/>
      <c r="E38" s="23"/>
      <c r="F38" s="23"/>
      <c r="G38" s="23"/>
      <c r="H38" s="23"/>
      <c r="I38" s="23"/>
      <c r="J38" s="23"/>
      <c r="K38" s="56">
        <f>SUM(K34:K37)</f>
        <v>105456</v>
      </c>
      <c r="L38" s="25"/>
      <c r="M38" s="24"/>
    </row>
    <row r="39" spans="1:13" ht="12.75">
      <c r="A39" s="25"/>
      <c r="B39" s="22"/>
      <c r="C39" s="23"/>
      <c r="D39" s="23"/>
      <c r="E39" s="23"/>
      <c r="F39" s="23"/>
      <c r="G39" s="23"/>
      <c r="H39" s="23"/>
      <c r="I39" s="23"/>
      <c r="J39" s="23"/>
      <c r="K39" s="2"/>
      <c r="L39" s="2"/>
      <c r="M39" s="24"/>
    </row>
    <row r="40" spans="1:13" ht="12.75">
      <c r="A40" s="25" t="s">
        <v>39</v>
      </c>
      <c r="B40" s="22">
        <v>1</v>
      </c>
      <c r="C40" s="23">
        <v>9000</v>
      </c>
      <c r="D40" s="23">
        <f>B40*C40</f>
        <v>9000</v>
      </c>
      <c r="E40" s="23">
        <f>D40*0.3</f>
        <v>2700</v>
      </c>
      <c r="F40" s="23">
        <f>SUM(D40:E40)</f>
        <v>11700</v>
      </c>
      <c r="G40" s="23">
        <f t="shared" si="7"/>
        <v>1755</v>
      </c>
      <c r="H40" s="23">
        <f>F40*0.202</f>
        <v>2363.4</v>
      </c>
      <c r="I40" s="23">
        <f>SUM(F40:H40)/12</f>
        <v>1318.2</v>
      </c>
      <c r="J40" s="23">
        <f>SUM(F40:I40)</f>
        <v>17136.6</v>
      </c>
      <c r="K40" s="23">
        <f t="shared" si="11"/>
        <v>205639.19999999998</v>
      </c>
      <c r="L40" s="2" t="s">
        <v>164</v>
      </c>
      <c r="M40" s="24"/>
    </row>
    <row r="41" spans="1:13" ht="12.75">
      <c r="A41" s="25" t="s">
        <v>162</v>
      </c>
      <c r="B41" s="22">
        <v>1</v>
      </c>
      <c r="C41" s="98">
        <v>9187.5</v>
      </c>
      <c r="D41" s="23">
        <f>B41*C41</f>
        <v>9187.5</v>
      </c>
      <c r="E41" s="23">
        <f>D41*0.3</f>
        <v>2756.25</v>
      </c>
      <c r="F41" s="23">
        <f>SUM(D41:E41)</f>
        <v>11943.75</v>
      </c>
      <c r="G41" s="23">
        <f t="shared" si="7"/>
        <v>1791.5625</v>
      </c>
      <c r="H41" s="23">
        <f>F41*0.202</f>
        <v>2412.6375000000003</v>
      </c>
      <c r="I41" s="23">
        <f>SUM(F41:H41)/12</f>
        <v>1345.6625000000001</v>
      </c>
      <c r="J41" s="23">
        <f>SUM(F41:I41)</f>
        <v>17493.6125</v>
      </c>
      <c r="K41" s="23">
        <f t="shared" si="11"/>
        <v>209923.34999999998</v>
      </c>
      <c r="L41" s="2" t="s">
        <v>123</v>
      </c>
      <c r="M41" s="24" t="s">
        <v>59</v>
      </c>
    </row>
    <row r="42" spans="1:13" ht="12.75">
      <c r="A42" s="25" t="s">
        <v>162</v>
      </c>
      <c r="B42" s="22">
        <v>1</v>
      </c>
      <c r="C42" s="98">
        <v>1312.5</v>
      </c>
      <c r="D42" s="23">
        <f>B42*C42</f>
        <v>1312.5</v>
      </c>
      <c r="E42" s="23">
        <f>D42*0.3</f>
        <v>393.75</v>
      </c>
      <c r="F42" s="23">
        <f>SUM(D42:E42)</f>
        <v>1706.25</v>
      </c>
      <c r="G42" s="23">
        <f>F42*0.15</f>
        <v>255.9375</v>
      </c>
      <c r="H42" s="23">
        <f>F42*0.202</f>
        <v>344.6625</v>
      </c>
      <c r="I42" s="23">
        <f>SUM(F42:H42)/12</f>
        <v>192.23749999999998</v>
      </c>
      <c r="J42" s="23">
        <f>SUM(F42:I42)</f>
        <v>2499.0875</v>
      </c>
      <c r="K42" s="23">
        <f t="shared" si="11"/>
        <v>29989.050000000003</v>
      </c>
      <c r="L42" s="2" t="s">
        <v>124</v>
      </c>
      <c r="M42" s="24"/>
    </row>
    <row r="43" spans="1:13" ht="12.75">
      <c r="A43" s="27" t="s">
        <v>13</v>
      </c>
      <c r="B43" s="28">
        <f>SUM(B9:B42)</f>
        <v>8.35</v>
      </c>
      <c r="C43" s="28"/>
      <c r="D43" s="29">
        <f>SUM(D9:D42)</f>
        <v>84205</v>
      </c>
      <c r="E43" s="29"/>
      <c r="F43" s="29">
        <f>SUM(F9:F42)</f>
        <v>103405</v>
      </c>
      <c r="G43" s="29">
        <f>SUM(G9:G42)</f>
        <v>15510.75</v>
      </c>
      <c r="H43" s="29">
        <f>SUM(H9:H42)</f>
        <v>20887.81</v>
      </c>
      <c r="I43" s="29">
        <f>SUM(I9:I42)</f>
        <v>9221.766666666665</v>
      </c>
      <c r="J43" s="29">
        <f>SUM(J9:J42)</f>
        <v>149025.32666666663</v>
      </c>
      <c r="K43" s="29">
        <f>SUM(K40:K42)</f>
        <v>445551.5999999999</v>
      </c>
      <c r="L43" s="26"/>
      <c r="M43" s="26"/>
    </row>
    <row r="45" spans="1:11" ht="12.75">
      <c r="A45" t="s">
        <v>17</v>
      </c>
      <c r="E45" s="30"/>
      <c r="F45" s="30">
        <f>F43*0.15</f>
        <v>15510.75</v>
      </c>
      <c r="G45" s="30"/>
      <c r="H45" s="30"/>
      <c r="I45" s="30"/>
      <c r="J45" s="30"/>
      <c r="K45" s="30">
        <f>K23+K13+K38+K43+K32</f>
        <v>1788303.92</v>
      </c>
    </row>
    <row r="46" spans="1:11" ht="12.75">
      <c r="A46" t="s">
        <v>145</v>
      </c>
      <c r="E46" s="30"/>
      <c r="F46" s="30">
        <f>(F43-SUM(F15:F22))*0.202</f>
        <v>20887.81</v>
      </c>
      <c r="G46" s="30"/>
      <c r="H46" s="30"/>
      <c r="I46" s="30"/>
      <c r="J46" s="30"/>
      <c r="K46" s="30"/>
    </row>
    <row r="47" spans="1:11" ht="12.75">
      <c r="A47" s="38" t="s">
        <v>15</v>
      </c>
      <c r="E47" s="37"/>
      <c r="F47" s="37">
        <f>SUM(F43:F46)</f>
        <v>139803.56</v>
      </c>
      <c r="G47" s="37"/>
      <c r="H47" s="37"/>
      <c r="I47" s="37"/>
      <c r="J47" s="37"/>
      <c r="K47" s="37"/>
    </row>
    <row r="48" spans="1:11" ht="12.75">
      <c r="A48" s="38" t="s">
        <v>72</v>
      </c>
      <c r="E48" s="37"/>
      <c r="F48" s="37">
        <f>F47+(F47-SUM(F9:F12)*1.352-SUM(F15:F22)*1.15)/12</f>
        <v>149025.32666666666</v>
      </c>
      <c r="G48" s="37"/>
      <c r="H48" s="37"/>
      <c r="I48" s="37"/>
      <c r="J48" s="37"/>
      <c r="K48" s="37"/>
    </row>
    <row r="49" spans="1:11" ht="12.75">
      <c r="A49" s="8" t="s">
        <v>29</v>
      </c>
      <c r="E49" s="37"/>
      <c r="F49" s="37">
        <f>F48*12</f>
        <v>1788303.92</v>
      </c>
      <c r="G49" s="37"/>
      <c r="H49" s="37"/>
      <c r="I49" s="37"/>
      <c r="J49" s="37"/>
      <c r="K49" s="37"/>
    </row>
    <row r="53" ht="12.75">
      <c r="A53" s="54" t="s">
        <v>45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 Губернский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</dc:creator>
  <cp:keywords/>
  <dc:description/>
  <cp:lastModifiedBy>0305_buh5</cp:lastModifiedBy>
  <cp:lastPrinted>2012-10-20T15:30:59Z</cp:lastPrinted>
  <dcterms:created xsi:type="dcterms:W3CDTF">2007-08-12T06:39:12Z</dcterms:created>
  <dcterms:modified xsi:type="dcterms:W3CDTF">2012-10-20T15:35:49Z</dcterms:modified>
  <cp:category/>
  <cp:version/>
  <cp:contentType/>
  <cp:contentStatus/>
</cp:coreProperties>
</file>