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765" windowHeight="9045" activeTab="4"/>
  </bookViews>
  <sheets>
    <sheet name="ОДДС 2011" sheetId="1" r:id="rId1"/>
    <sheet name="Сводный" sheetId="2" r:id="rId2"/>
    <sheet name="Провайдеры" sheetId="3" r:id="rId3"/>
    <sheet name="Отчет 2011 - План 2012" sheetId="4" r:id="rId4"/>
    <sheet name="Отчет 2011 - План 2012 гараж" sheetId="5" r:id="rId5"/>
  </sheets>
  <externalReferences>
    <externalReference r:id="rId8"/>
  </externalReferences>
  <definedNames>
    <definedName name="_xlnm._FilterDatabase" localSheetId="0" hidden="1">'ОДДС 2011'!$A$252:$O$417</definedName>
    <definedName name="_xlnm._FilterDatabase" localSheetId="1" hidden="1">'Сводный'!$A$46:$F$211</definedName>
    <definedName name="_xlnm.Print_Titles" localSheetId="0">'ОДДС 2011'!$87:$87</definedName>
    <definedName name="_xlnm.Print_Titles" localSheetId="4">'Отчет 2011 - План 2012 гараж'!$28:$28</definedName>
  </definedNames>
  <calcPr fullCalcOnLoad="1"/>
</workbook>
</file>

<file path=xl/comments1.xml><?xml version="1.0" encoding="utf-8"?>
<comments xmlns="http://schemas.openxmlformats.org/spreadsheetml/2006/main">
  <authors>
    <author>MK Computer</author>
    <author>ОКСАНА</author>
  </authors>
  <commentList>
    <comment ref="I81" authorId="0">
      <text>
        <r>
          <rPr>
            <b/>
            <sz val="8"/>
            <rFont val="Tahoma"/>
            <family val="0"/>
          </rPr>
          <t>MK Computer:</t>
        </r>
        <r>
          <rPr>
            <sz val="8"/>
            <rFont val="Tahoma"/>
            <family val="0"/>
          </rPr>
          <t xml:space="preserve">
589-возврат от поставщика излишней суммы
</t>
        </r>
      </text>
    </comment>
    <comment ref="D81" authorId="0">
      <text>
        <r>
          <rPr>
            <b/>
            <sz val="8"/>
            <rFont val="Tahoma"/>
            <family val="0"/>
          </rPr>
          <t>MK Computer:</t>
        </r>
        <r>
          <rPr>
            <sz val="8"/>
            <rFont val="Tahoma"/>
            <family val="0"/>
          </rPr>
          <t xml:space="preserve">
100 взаимозачет с ЕРЦ</t>
        </r>
      </text>
    </comment>
    <comment ref="N85" authorId="1">
      <text>
        <r>
          <rPr>
            <b/>
            <sz val="9"/>
            <rFont val="Tahoma"/>
            <family val="0"/>
          </rPr>
          <t>ОКСАНА:</t>
        </r>
        <r>
          <rPr>
            <sz val="9"/>
            <rFont val="Tahoma"/>
            <family val="0"/>
          </rPr>
          <t xml:space="preserve">
35665,23 поступило на новый р/с 29.11.2011
</t>
        </r>
      </text>
    </comment>
  </commentList>
</comments>
</file>

<file path=xl/comments2.xml><?xml version="1.0" encoding="utf-8"?>
<comments xmlns="http://schemas.openxmlformats.org/spreadsheetml/2006/main">
  <authors>
    <author>1</author>
  </authors>
  <commentList>
    <comment ref="E124" authorId="0">
      <text>
        <r>
          <rPr>
            <b/>
            <sz val="8"/>
            <rFont val="Tahoma"/>
            <family val="2"/>
          </rPr>
          <t>1:</t>
        </r>
        <r>
          <rPr>
            <sz val="8"/>
            <rFont val="Tahoma"/>
            <family val="2"/>
          </rPr>
          <t xml:space="preserve">
оплпта была в 11.2010
</t>
        </r>
      </text>
    </comment>
    <comment ref="E133" authorId="0">
      <text>
        <r>
          <rPr>
            <b/>
            <sz val="8"/>
            <rFont val="Tahoma"/>
            <family val="2"/>
          </rPr>
          <t>1:</t>
        </r>
        <r>
          <rPr>
            <sz val="8"/>
            <rFont val="Tahoma"/>
            <family val="2"/>
          </rPr>
          <t xml:space="preserve">
остаток вернули на р/с
</t>
        </r>
      </text>
    </comment>
  </commentList>
</comments>
</file>

<file path=xl/sharedStrings.xml><?xml version="1.0" encoding="utf-8"?>
<sst xmlns="http://schemas.openxmlformats.org/spreadsheetml/2006/main" count="824" uniqueCount="425">
  <si>
    <t>№ п/п</t>
  </si>
  <si>
    <t>Всего</t>
  </si>
  <si>
    <t>январь</t>
  </si>
  <si>
    <t>февраль</t>
  </si>
  <si>
    <t>март</t>
  </si>
  <si>
    <t>апрель</t>
  </si>
  <si>
    <t>май</t>
  </si>
  <si>
    <t>июнь</t>
  </si>
  <si>
    <t>июль</t>
  </si>
  <si>
    <t>август</t>
  </si>
  <si>
    <t>сентябрь</t>
  </si>
  <si>
    <t>октябрь</t>
  </si>
  <si>
    <t>ноябрь</t>
  </si>
  <si>
    <t>декабрь</t>
  </si>
  <si>
    <t>квартиры</t>
  </si>
  <si>
    <t>офисы</t>
  </si>
  <si>
    <t>гаражи</t>
  </si>
  <si>
    <t>Отопление</t>
  </si>
  <si>
    <t>ХВС</t>
  </si>
  <si>
    <t>ГВС подача</t>
  </si>
  <si>
    <t>ГВС нагрев</t>
  </si>
  <si>
    <t>Водоотведение</t>
  </si>
  <si>
    <t>Электроэнергия</t>
  </si>
  <si>
    <t>Пени</t>
  </si>
  <si>
    <t>РЕЗУЛЬТАТЫ ДЕЯТЕЛЬНОСТИ ПОМЕСЯЧНО ТСЖ"ТАТИЩЕВА,92"</t>
  </si>
  <si>
    <t>Выставлено счетов поставщиками, начислено расходов ТСЖ</t>
  </si>
  <si>
    <t>председатель</t>
  </si>
  <si>
    <t>дворник, уборщицы</t>
  </si>
  <si>
    <t>ООО "Интерэнерго"</t>
  </si>
  <si>
    <t>обслуживание общедом. узлов учета теплоэнергии</t>
  </si>
  <si>
    <t xml:space="preserve">восстановление общедом. узлов учета теплоэнергии </t>
  </si>
  <si>
    <t>обслуживание системы сбора показаний индивидуальных приборов учета</t>
  </si>
  <si>
    <t>ООО "Лифтмонтаж-1"</t>
  </si>
  <si>
    <t>техобслуживание и ремонт лифтов</t>
  </si>
  <si>
    <t>ООО "УИЦ "Союзлифтмонтаж" (техосвидетельствование лифтов)</t>
  </si>
  <si>
    <t>УЖКХ Верх-Исетского района (паспортное обслуживание)</t>
  </si>
  <si>
    <t>ЗАО "Городская дезинфекционная станция" (санитарная обработка подвалов от грызунов)</t>
  </si>
  <si>
    <t>ОАО "Русь-Банк-Урал" расчетно-кассовое обслуживание</t>
  </si>
  <si>
    <t>ООО "Единый расчетный центр" услуги оператора по договору о приеме платежей</t>
  </si>
  <si>
    <t>ООО "Центр Бонус" обновление и сопровождение программ</t>
  </si>
  <si>
    <t>расчетное обслуживание</t>
  </si>
  <si>
    <t>покупка ПО "Арча" -Учет доходов физических лиц"</t>
  </si>
  <si>
    <t>покупка ПО "Учет расчетов и денежных средств" Альфа</t>
  </si>
  <si>
    <t>ЗАО "УЦСК"Сантехкомплект-Урал" сантехматериалы</t>
  </si>
  <si>
    <t>ООО "ВИЗАВИ" аренда зала для проведения общего собрания</t>
  </si>
  <si>
    <t>ЕМУП "Спецавтобаза"</t>
  </si>
  <si>
    <t>МУП "Водоканал"</t>
  </si>
  <si>
    <t>ОАО "МК "Уралметпром"</t>
  </si>
  <si>
    <t>ОАО "Екатеринбургэнергосбыт"</t>
  </si>
  <si>
    <t>Содержание и ремонт общедомового имущества</t>
  </si>
  <si>
    <t>Взносы на капитальный ремонт</t>
  </si>
  <si>
    <t>АВАНСОВЫЕ ОТЧЕТЫ</t>
  </si>
  <si>
    <t>Зеленый В.А.</t>
  </si>
  <si>
    <t>сантехматериалы</t>
  </si>
  <si>
    <t>Налог на УСН</t>
  </si>
  <si>
    <t>Плата провайдеров за размещение оборудования связи в доме</t>
  </si>
  <si>
    <t>Начислено собственникам, арендаторам</t>
  </si>
  <si>
    <t>Оплата труда, включая РК, ЕСН, НС и ПЗ, НДФЛ, в том числе:</t>
  </si>
  <si>
    <t>Оплачено собственниками, арендаторами</t>
  </si>
  <si>
    <t>Оплачено счетов поставщикам, произведено расходов ТСЖ</t>
  </si>
  <si>
    <t>Перерасчет</t>
  </si>
  <si>
    <t>Начислено арендаторам</t>
  </si>
  <si>
    <t>ООО "АКАДО-Екатеринбург"</t>
  </si>
  <si>
    <t>ООО "Комтехцентр" (ТМ Планета)</t>
  </si>
  <si>
    <t>ООО «Конвекс-Восток» (НТЦ «Интек»)</t>
  </si>
  <si>
    <t>ООО ЧОП "Ланцелот"</t>
  </si>
  <si>
    <t>ООО «НТЦ Новатор»</t>
  </si>
  <si>
    <t>ООО "Инсис"</t>
  </si>
  <si>
    <t>ООО «Престиж-Интернет» (Энфорта)</t>
  </si>
  <si>
    <t>ЗАО «Телефонная компания-Урал» (Синтерра-Урал)</t>
  </si>
  <si>
    <t>ЗАО «Урал-ТрансТелеКом»</t>
  </si>
  <si>
    <t>ИТОГО</t>
  </si>
  <si>
    <t>Оплачено арендаторами</t>
  </si>
  <si>
    <t>Доходы</t>
  </si>
  <si>
    <t>План, руб.</t>
  </si>
  <si>
    <t>Факт,руб.</t>
  </si>
  <si>
    <t>Долг  ТСЖ перед поставщиками, руб.</t>
  </si>
  <si>
    <t>на управление, содержание и ремонт общего имущества</t>
  </si>
  <si>
    <t>Справочная информация</t>
  </si>
  <si>
    <t>Кол-во</t>
  </si>
  <si>
    <t>Площадь жилых помещений, кв.м.</t>
  </si>
  <si>
    <t>Площадь офисов, кв.м.</t>
  </si>
  <si>
    <t>Площадь гаражных боксов, кв.м.</t>
  </si>
  <si>
    <t>ИТОГО общая площадь, кв.м.:</t>
  </si>
  <si>
    <t>Количество лифтов,шт.</t>
  </si>
  <si>
    <t>Количество подъездов, шт.</t>
  </si>
  <si>
    <t>Количество квартир, шт.</t>
  </si>
  <si>
    <t>Количество офисов, шт.</t>
  </si>
  <si>
    <t>Количество гаражных боксов, шт.</t>
  </si>
  <si>
    <t>Статьи доходов и расходов</t>
  </si>
  <si>
    <t>ДОХОДЫ</t>
  </si>
  <si>
    <t>1.1.</t>
  </si>
  <si>
    <t>1.2.</t>
  </si>
  <si>
    <t>1.3.</t>
  </si>
  <si>
    <t>Плата за содержание и ремонт общего имущества в доме</t>
  </si>
  <si>
    <t>от собственников жилых помещений</t>
  </si>
  <si>
    <t>от собственников офисов</t>
  </si>
  <si>
    <t>от собственников гаражных боксов</t>
  </si>
  <si>
    <t>1.4.</t>
  </si>
  <si>
    <t>Доходы от сдачи в аренду общего имущества ТСЖ</t>
  </si>
  <si>
    <t>1.5.</t>
  </si>
  <si>
    <t>1.6.</t>
  </si>
  <si>
    <t>ИТОГО ДОХОДОВ:</t>
  </si>
  <si>
    <t>РАСХОДЫ</t>
  </si>
  <si>
    <t>2.1.</t>
  </si>
  <si>
    <t>2.2.</t>
  </si>
  <si>
    <t>Административно-управленческие расходы ТСЖ, в том числе:</t>
  </si>
  <si>
    <t>2.2.1.</t>
  </si>
  <si>
    <t>2.2.2.</t>
  </si>
  <si>
    <t>налог на УСН</t>
  </si>
  <si>
    <t>2.2.3.</t>
  </si>
  <si>
    <t>2.2.4.</t>
  </si>
  <si>
    <t>2.3.</t>
  </si>
  <si>
    <t>ремонт автоматических ворот гаража</t>
  </si>
  <si>
    <t>2.4.</t>
  </si>
  <si>
    <t>2.5.</t>
  </si>
  <si>
    <t>2.6.</t>
  </si>
  <si>
    <t>2.7.</t>
  </si>
  <si>
    <t>обслуживание системы телеметрии (ООО "Интерэнерго")</t>
  </si>
  <si>
    <t>техобслуживание лифтов (ООО "Лифтмонтаж-1")</t>
  </si>
  <si>
    <t>санитарная обработка подвалов (ОАО "Екатеринбургская дезинфекционная станция")</t>
  </si>
  <si>
    <t>очистка кровли от мусора</t>
  </si>
  <si>
    <t>паспортное обслуживание (МУ УЖКХ Верх-Исетского района)</t>
  </si>
  <si>
    <t>2.8.</t>
  </si>
  <si>
    <t>Благоустройство</t>
  </si>
  <si>
    <t>прокос газонов</t>
  </si>
  <si>
    <t>завоз песка, земли, отсева</t>
  </si>
  <si>
    <t>2.9.</t>
  </si>
  <si>
    <t>2.10.</t>
  </si>
  <si>
    <t>Капитальный ремонт и реконструкция</t>
  </si>
  <si>
    <t>2.11.</t>
  </si>
  <si>
    <t>ИТОГО РАСХОДОВ:</t>
  </si>
  <si>
    <t>Прочие поступления</t>
  </si>
  <si>
    <t>Итого</t>
  </si>
  <si>
    <t>Телесеть-Сервис</t>
  </si>
  <si>
    <t>Задолженность на 01.01.2011</t>
  </si>
  <si>
    <t>ООО "Компания Эрланг"</t>
  </si>
  <si>
    <t>2.2.5.</t>
  </si>
  <si>
    <t>2.2.6.</t>
  </si>
  <si>
    <t>2.2.7.</t>
  </si>
  <si>
    <t>замена контрольно-измерительных приборов, датчиков</t>
  </si>
  <si>
    <t>поверка общедомовых приборов учета ТЭКОН, датчиков</t>
  </si>
  <si>
    <t>приобретение электрозапчастей и ламп</t>
  </si>
  <si>
    <t>непредвиденные расходы на ремонты, замену оборудования</t>
  </si>
  <si>
    <t>фонд оплаты труда работников+ЕСН+РК (дворник, уборщицы)</t>
  </si>
  <si>
    <t>техосвидетельствование лифтов (Союзлифтмонтаж)</t>
  </si>
  <si>
    <t>обслуживание и ремонт домофонов (ООО "СВД-Инжиниринг")</t>
  </si>
  <si>
    <t>уборка механизированных способом и вывоз снега</t>
  </si>
  <si>
    <t>устранение поломок (двери, окна, доводчики, ручки, светильники и т.д.)</t>
  </si>
  <si>
    <t>установка энергосберегающих светильников с датчиками в МОП</t>
  </si>
  <si>
    <t>ПМК-7 (транспортные услуги и спецтехника)</t>
  </si>
  <si>
    <t>ТСЖ "Наш Дом" (аренда диспетчерской)</t>
  </si>
  <si>
    <t>ИП Чигвинцев С.А. уборка снега техникой</t>
  </si>
  <si>
    <t>ООО "ПРОМАЛЬПИНДУСТРИЯ" (Очистка площади кровли от снега)</t>
  </si>
  <si>
    <t>ООО "СтройАрсенал" (инструмент)</t>
  </si>
  <si>
    <t>пожарное оборудование</t>
  </si>
  <si>
    <t>ООО "СТЭМ"</t>
  </si>
  <si>
    <t>МТС (сотовая связь)</t>
  </si>
  <si>
    <t>госпошлина</t>
  </si>
  <si>
    <t>ООО "Горшкоф-Офис" (канц. товары)</t>
  </si>
  <si>
    <t xml:space="preserve">ООО "СВД-Инжиниринг" </t>
  </si>
  <si>
    <t>ремонт и обслуживание домофонов</t>
  </si>
  <si>
    <t>монтажные работы</t>
  </si>
  <si>
    <t>2.3.5. Поверка общедомовых приборов учета ТЭКОН, датчиков</t>
  </si>
  <si>
    <t>инструмент</t>
  </si>
  <si>
    <t>ООО "Компания "Экосистема" (Вывоз ТБО)</t>
  </si>
  <si>
    <t>замена труб ГВС (вне плана)</t>
  </si>
  <si>
    <r>
      <t>2.7.4. приобретение запчастей, комплектующих, инструмента, хозинвентаря</t>
    </r>
    <r>
      <rPr>
        <b/>
        <sz val="10"/>
        <rFont val="Arial"/>
        <family val="2"/>
      </rPr>
      <t xml:space="preserve"> (хозтовары)</t>
    </r>
  </si>
  <si>
    <t>2.3.6. приобретение электрозапчастей и ламп</t>
  </si>
  <si>
    <r>
      <t>2.2.4. канцелярские расходы, расходные материалы для оргтехники (картриджи, дискеты)</t>
    </r>
    <r>
      <rPr>
        <b/>
        <sz val="10"/>
        <rFont val="Arial"/>
        <family val="2"/>
      </rPr>
      <t>(канцелярские расходы)</t>
    </r>
  </si>
  <si>
    <t>2.2.3. почтовые расходы</t>
  </si>
  <si>
    <t>2.2.6. госпошлина по искам, нотариус, юридические расходы</t>
  </si>
  <si>
    <t>2.8.3. озеленение двора (высадка кустарников)</t>
  </si>
  <si>
    <t>2.8.5. завоз песка, земли, отсева</t>
  </si>
  <si>
    <t>2.7.3. ремонт помещения мастерской ТСЖ у 1-го подъезда</t>
  </si>
  <si>
    <t>2.8.2. ремонт, покраска детской площадки</t>
  </si>
  <si>
    <t>2.8.1. прокос газонов (леска)</t>
  </si>
  <si>
    <t>2.10.2. реконструкция общедомовых узлов учета теплоэнергии согласно нового проекта</t>
  </si>
  <si>
    <t xml:space="preserve">2.10.6. установка заборов на тротуаре на въезде во двор с ул. Сварщиков, на газоне у аптеки  </t>
  </si>
  <si>
    <t>диспетчера</t>
  </si>
  <si>
    <t>Поздышев В.Ф</t>
  </si>
  <si>
    <t>изготовление и монтаж крышки вентиляционной шахты чердака 5-го подъезда</t>
  </si>
  <si>
    <t>Колосов В.П.</t>
  </si>
  <si>
    <t>програмирование таймера автоматических ворот гаража на автоматическое закрывание</t>
  </si>
  <si>
    <t>Речкин А.П.</t>
  </si>
  <si>
    <t>управляющий</t>
  </si>
  <si>
    <t xml:space="preserve">Подкорытов В.А. </t>
  </si>
  <si>
    <t>Двойнишников А.Г.</t>
  </si>
  <si>
    <t>замена трубопроводов ГВС Ду32 в подвале 3-7 подъездов, замена запорной арматуры, монтаж циркуляционного насоса, сварочные работы</t>
  </si>
  <si>
    <t>гидропневматическая промывка системы теплопотребления подземного гаража</t>
  </si>
  <si>
    <t>Катаев А.В.</t>
  </si>
  <si>
    <t>Ленский Д.В.</t>
  </si>
  <si>
    <t>Выполнение работ по договору № 26-ВПУ от 27.04.2010</t>
  </si>
  <si>
    <t>ООО "Предприятие "ТАЭН"</t>
  </si>
  <si>
    <t xml:space="preserve">Промывка теплообменника </t>
  </si>
  <si>
    <t xml:space="preserve">Обновление программы "Расчет кварплаты " 212 л/сч </t>
  </si>
  <si>
    <t>компенсация за авто</t>
  </si>
  <si>
    <t>госпошина</t>
  </si>
  <si>
    <t>на подотчет</t>
  </si>
  <si>
    <t>2.2.4. канцелярские расходы, расходные материалы для оргтехники (картриджи, дискеты)(канцелярские расходы)</t>
  </si>
  <si>
    <t>2.7.4. приобретение запчастей, комплектующих, инструмента, хозинвентаря (хозтовары)</t>
  </si>
  <si>
    <t>2.7.4. приобретение запчастей, комплектующих, инструмента, хозинвентаря (инструмент и МБП)</t>
  </si>
  <si>
    <t>2.3.10. непредвиденные расходы на ремонты, замену оборудования (клей, затирка, керамогранит)</t>
  </si>
  <si>
    <t>2.9.1. устранение поломок (двери, окна, доводчики, ручки, светильники и т.д.)(войлок, защелки, шпингалеты)</t>
  </si>
  <si>
    <t>2.2.4. канцелярские расходы, расходные материалы для оргтехники (картриджи, дискеты)(оргтехника (ПК, МФУ, картриджи)</t>
  </si>
  <si>
    <t>2.7.4. приобретение запчастей, комплектующих, инструмента, хозинвентаря(сантехматериалы)</t>
  </si>
  <si>
    <t>2.7.5. непредвиденные расходы (ликвидация аварий и т.д.)(сантехматериалы)</t>
  </si>
  <si>
    <t>Музафаров Р.Ф.</t>
  </si>
  <si>
    <t>По дебетовым оборотам в интернет-банке</t>
  </si>
  <si>
    <t>расхождение</t>
  </si>
  <si>
    <t>Итого:</t>
  </si>
  <si>
    <t>По кредитовым оборотам банка</t>
  </si>
  <si>
    <t>ООО "Техпромсервис" (вывоз снега)</t>
  </si>
  <si>
    <t>Прочие доходы (невыясненные платежи)</t>
  </si>
  <si>
    <t>Комиссия банка</t>
  </si>
  <si>
    <t>Возврат госпошлины</t>
  </si>
  <si>
    <t>Техническое обслуживание автоматической системе противодымной защиты (АСПДЗ) по адресу: ул. Татищева,92 подъезд 2</t>
  </si>
  <si>
    <t>Выполнены работы  по ремонту систем пожарной сигнализации (ПС) подземного гаража по ул. Татищева 92 в г.Екатеринбурге и ввод систем в режим технического обслуживания</t>
  </si>
  <si>
    <t>Ревизия и замена контакторов АВР</t>
  </si>
  <si>
    <r>
      <t>2.7.5. непредвиденные расходы (ликвидация аварий и т.д.)(сантехматериалы)</t>
    </r>
  </si>
  <si>
    <t>Выставлено счетов поставщиками, произведено расходов ТСЖ</t>
  </si>
  <si>
    <t>на подотчете</t>
  </si>
  <si>
    <t>Выставлено, руб.</t>
  </si>
  <si>
    <t>Оплачено, руб.</t>
  </si>
  <si>
    <t>Долги перед ТСЖ за 2010 год на 01.01.2011, руб.</t>
  </si>
  <si>
    <t>аренда зала для проведения общего собрания</t>
  </si>
  <si>
    <t>обслуживание системы ОПС, дымоудаления дома</t>
  </si>
  <si>
    <t>обслуживание системы сигнализации превышения СО (гараж)</t>
  </si>
  <si>
    <t>изготовление козырьков над входами в гараж и мастерскую</t>
  </si>
  <si>
    <t>восстановление автоматики системы сигнализации СО и пожаротушения, вентиляции (гараж)</t>
  </si>
  <si>
    <t>транспортные расходы по завозу земли</t>
  </si>
  <si>
    <t>замена напольной керамической плитки в подъездах № 7</t>
  </si>
  <si>
    <t>Итого затраты на управление и содержание общего имущества (стр. 2.1. + стр. 2.2.)</t>
  </si>
  <si>
    <t>Задолженность на 01.01.2012</t>
  </si>
  <si>
    <t>Екатеринбургский филиал ОАО "Вымпелком"</t>
  </si>
  <si>
    <t>Мегафон</t>
  </si>
  <si>
    <t>Ростелеком</t>
  </si>
  <si>
    <t>ООО "Уралфинцентр"</t>
  </si>
  <si>
    <t>аренда офиса</t>
  </si>
  <si>
    <t>ООО "Теплобаланс"</t>
  </si>
  <si>
    <t>Обслуживание автоматики ИТП, ннасосных станций</t>
  </si>
  <si>
    <t>Организация техническое обслуживание автоматической системе противодымной защиты (АСПДЗ) по адресу: ул. Татищева,92</t>
  </si>
  <si>
    <t>сантехники</t>
  </si>
  <si>
    <t>бухгалтер</t>
  </si>
  <si>
    <t>электрик</t>
  </si>
  <si>
    <t>Восстановительные работы на автоматической системе противодымной защиты (АСПДЗ) и оповещение подземного гаража</t>
  </si>
  <si>
    <t>возврат невыяненных платежей</t>
  </si>
  <si>
    <t>сварочные работы по замене обратного клапана и фильтра на обратной магистрали гвс в итп секция 10, устранение прорыва на калорифере вентиляции гаража</t>
  </si>
  <si>
    <t>сварочные работы по установке балансировочного клапана Ballorex Ду 40 на магистрали отопления гаража для регулировки расхода тепловой энергии ИТП секция 7а, фланца для установки датчика температуры обратного трубопровода ИТП секция 7а, отвод от стояка ХВС в кв. 8</t>
  </si>
  <si>
    <t>замена автоматического выключателя 380 В на ВРУ электрощитовая №1</t>
  </si>
  <si>
    <t>восстановление электропроводки освещения 4 подъезда</t>
  </si>
  <si>
    <t>изготовление переходников (2 шт.) для подключения электроинструмента в патроны освещения</t>
  </si>
  <si>
    <t>сварочные работы по замене задвижки Балломакс Ду 80 на контуре ГВС ИТП 7а (3-7 подъезды), трубных соединений (3 шт.) на отводах стояков от магистрали ГВС секция 10 (1-2 подъезды).</t>
  </si>
  <si>
    <t>сварочные работы по ремонту металлических ограждений газонов и детской площадки дома Татищева,92</t>
  </si>
  <si>
    <t>уборка проездов общего пользования подземного гаража пылесосом</t>
  </si>
  <si>
    <t>Мистахов Э. В.</t>
  </si>
  <si>
    <t>сварочные работы по замене труб магистрали подачи ГВС 1 подъезда в секции 10</t>
  </si>
  <si>
    <t xml:space="preserve">замена торсионного механизма и троса автоматических ворот гаража </t>
  </si>
  <si>
    <t>перенос и установка забора на тротуаре дома Татищева,92 со стороны ул. Сварщиков.</t>
  </si>
  <si>
    <t>замена напольной керамической плитки (керамогранит) в подъезде № 3 площадью 21 кв. м.</t>
  </si>
  <si>
    <t>замена напольной керамической плитки (керамогранит) в подъезде № 4 площадью 16 кв. м.</t>
  </si>
  <si>
    <t>замена ведущей шестерни и ремонт привода автоматических ворот гаража</t>
  </si>
  <si>
    <t>сварочные работыпо ремонту контура нагрева калорифера приточной вентиляции гаража, трубных соединений ( 3 шт.) на отводах стояков от магистрали ГВс секция 7а (5-7 подъезды), отводы стояков ХВС, ГВС в кв. 43</t>
  </si>
  <si>
    <t>сварочные работы по установке металлического забора 9 секций, замене трубных соединений стояков в подвале 3-4 подъезд секция 7б (2 шт.)</t>
  </si>
  <si>
    <t>Ехлаков В.В.</t>
  </si>
  <si>
    <t>выполнение функций дворника</t>
  </si>
  <si>
    <t>сварочные работы по ремонту и укреплению детской карусели, замене трубных соединений стояков в подвале 1-2 подъезд секция 10 (2 шт.)</t>
  </si>
  <si>
    <t>сварочные работы по замене отводов от стояков в кв. 15 и 18, изготовлению и установке желоба ливневой канализации 2-го подъезда</t>
  </si>
  <si>
    <t>сварочные работы по замене отводов от стояков в кв. 12,132,134,190, переврезка ХВС системы пожаротушения гаража, арезка спускного крана, изготовление 3 металлических столбов для устаноки в гараже.</t>
  </si>
  <si>
    <t>ООО Делтринг" (сантехматериалы)</t>
  </si>
  <si>
    <t>иструменты</t>
  </si>
  <si>
    <t>ООО "УЗЭО" электротовары, лампы</t>
  </si>
  <si>
    <t>ООО ТД "Арсенал" (ставня)</t>
  </si>
  <si>
    <t>ООО "Сберэнерго" (электотовары)</t>
  </si>
  <si>
    <t>ООО ТК "Мегаполис" (хозтовары)</t>
  </si>
  <si>
    <t>ИП Торицин А.П. (пирометр)</t>
  </si>
  <si>
    <t>Ячейка электромеханическая на СО СОУ-1, СТГ-1</t>
  </si>
  <si>
    <t>ООО "ТД "Метаком-Урал" (материалы для ремонта домофона)</t>
  </si>
  <si>
    <t>ООО "ПИТ" (инструменты)</t>
  </si>
  <si>
    <t>метрологическая проверка приборов учета тепловой энергии</t>
  </si>
  <si>
    <t>ООО "Авега" (песок)</t>
  </si>
  <si>
    <t>ООО "Городок" (изделия для детский площадки)</t>
  </si>
  <si>
    <t>ООО "Артпожиндустрия" (торсионный механизм)</t>
  </si>
  <si>
    <t>ООО "Связь Экспресс"</t>
  </si>
  <si>
    <t>абонентское обслуживание домофона</t>
  </si>
  <si>
    <t>ИП Статнов И.А. (урны 10 шт.)</t>
  </si>
  <si>
    <t>ООО "Строитель" (щебень, песок)</t>
  </si>
  <si>
    <t>керамическая плитка, клей и т.д.</t>
  </si>
  <si>
    <t>интернет</t>
  </si>
  <si>
    <t xml:space="preserve">ООО "Техпром" </t>
  </si>
  <si>
    <t>ремонт мягкой кровли</t>
  </si>
  <si>
    <t>ООО "Техника" (материалы для ремонта автоматических ворот"</t>
  </si>
  <si>
    <t>(санитарная обработка подвалов от грызунов)</t>
  </si>
  <si>
    <t>ООО "Д.А.Р. И К"</t>
  </si>
  <si>
    <t>спецодежда</t>
  </si>
  <si>
    <t>Ремонт АТП и приточной вентиляции</t>
  </si>
  <si>
    <t>Замена подшипника редуктора лебедки главного привода лифта 4 подъезд</t>
  </si>
  <si>
    <t>ООО "Ависта"</t>
  </si>
  <si>
    <t>аудиторская проверка</t>
  </si>
  <si>
    <t>сварочные работы по устранению течи теплообменных трубок калорифера приточной вентиляции гаража</t>
  </si>
  <si>
    <t>доводчик в 4 подъезд</t>
  </si>
  <si>
    <t>ООО СК "Цюрих Ритейл"</t>
  </si>
  <si>
    <t>замена трансформаторапривода автоматических ворот гаража</t>
  </si>
  <si>
    <t>сварочные работы по замене отводов от стояков в кв.5,19,20,23,25,61,118, ремонт качели, приваривание порога металлических въездных ворот гаража, устранение свища на контуре ХВС в ИТП 7</t>
  </si>
  <si>
    <t xml:space="preserve">СМЕТА ДОХОДОВ И РАСХОДОВ </t>
  </si>
  <si>
    <t>Сумма, руб.</t>
  </si>
  <si>
    <t>в год</t>
  </si>
  <si>
    <t>Взносы на капитальный ремонт, в том числе</t>
  </si>
  <si>
    <t>2.1.1.</t>
  </si>
  <si>
    <t>расчетно-кассовое обслуживание в банке (ОАО "Русь-Банк-Урал"), ЕРЦ</t>
  </si>
  <si>
    <t>2.1.2.</t>
  </si>
  <si>
    <t>2.1.3.</t>
  </si>
  <si>
    <t>почтовые расходы</t>
  </si>
  <si>
    <t>2.1.4.</t>
  </si>
  <si>
    <t>канцелярские расходы, расходные материалы для оргтехники (бумага, картриджи, дискеты)</t>
  </si>
  <si>
    <t>2.1.5.</t>
  </si>
  <si>
    <t>семинары, обучение, обновление программного обеспечения</t>
  </si>
  <si>
    <t>2.1.6.</t>
  </si>
  <si>
    <t>2.1.7.</t>
  </si>
  <si>
    <t>2.1.8.</t>
  </si>
  <si>
    <t>2.1.9.</t>
  </si>
  <si>
    <t>компенсация транспортных расходов</t>
  </si>
  <si>
    <t>2.1.10.</t>
  </si>
  <si>
    <t>мобильная связь (городской номер ТСЖ)</t>
  </si>
  <si>
    <t>аудиторские услуги</t>
  </si>
  <si>
    <t xml:space="preserve"> Эксплуатационные расходы на содержание и обслуживание общего имущества дома и гаража</t>
  </si>
  <si>
    <t>фонд оплаты труда технического персонала+ЕСН+РК (служба эксплуатации)</t>
  </si>
  <si>
    <t>техническое обслуживание общедомовых приборов учета тепловой энергии (ООО "Интерэнерго")</t>
  </si>
  <si>
    <t>промывка теплообменников систем ГВС и отопления</t>
  </si>
  <si>
    <t>диспетчерское обслуживание (оплата диспетчеров, аренда помещения)</t>
  </si>
  <si>
    <t>2.2.8.</t>
  </si>
  <si>
    <t>2.2.9.</t>
  </si>
  <si>
    <t>2.2.10.</t>
  </si>
  <si>
    <t>2.2.11.</t>
  </si>
  <si>
    <t>обслуживание автоматики ОПС и пожаротушения (гараж) за 9 месяцев</t>
  </si>
  <si>
    <t>2.2.12.</t>
  </si>
  <si>
    <t>2.2.13.</t>
  </si>
  <si>
    <t>2.2.14.</t>
  </si>
  <si>
    <t>2.2.15.</t>
  </si>
  <si>
    <t>2.2.16.</t>
  </si>
  <si>
    <t>обслуживание и настройка автоматики ИТП, насосных станций (ООО "Теплобаланс")</t>
  </si>
  <si>
    <t>Итого затраты на управление и содержание общего имущества за вычетом  дополнительных поступлений  (стр. 2.3. - стр. 1.3.)</t>
  </si>
  <si>
    <t xml:space="preserve"> Допзатраты на содержание общего имущества жилых помещений и офисов (стр. 2.6. + стр. 2.7. + стр. 2.8.)</t>
  </si>
  <si>
    <t xml:space="preserve"> Эксплуатационные расходы на содержание и обслуживание общего имущества дома, в том числе:</t>
  </si>
  <si>
    <t>косметический ремонт 3-х подъездов</t>
  </si>
  <si>
    <t>непредвиденные расходы (ликвидация аварий и т.д.)</t>
  </si>
  <si>
    <t>установка рольставней на окно электрощитовой № 1</t>
  </si>
  <si>
    <t>вывоз твердых бытовых отходов (ООО "Экосистема")</t>
  </si>
  <si>
    <t>озеленение придомовой территории (высадка деревьев по внешнему периметру дома)</t>
  </si>
  <si>
    <t>Текущие ремонты общего имущества дома</t>
  </si>
  <si>
    <t>выполнение проекта ограждения двора</t>
  </si>
  <si>
    <t xml:space="preserve">установка заборов на тротуаре на въезде во двор с ул. Сварщиков, на газоне у аптеки  </t>
  </si>
  <si>
    <t>САЛЬДО ДОХОДОВ-РАСХОДОВ</t>
  </si>
  <si>
    <t>Прочие поступления (пени)</t>
  </si>
  <si>
    <t>сварочные работы по замене отводов от стояков в кв. 12,132,134,190, переврезка ХВС системы пожаротушения гаража, врезка спускного крана, изготовление 3 металлических столбов для установки в гараже.</t>
  </si>
  <si>
    <t>План</t>
  </si>
  <si>
    <t>Отклонение</t>
  </si>
  <si>
    <t>Фонд капитального ремонта (стр. 1.4. - стр. 2.9.)</t>
  </si>
  <si>
    <t>ООО "УЗЭТО" электротовары, лампы</t>
  </si>
  <si>
    <t>покупка насосов VILO 2 шт. для насосной станции 3-7 подъездов</t>
  </si>
  <si>
    <t>приобретение 10 урн перед подъездами</t>
  </si>
  <si>
    <t>приобретение рабочей спецодежды</t>
  </si>
  <si>
    <r>
      <t xml:space="preserve">приобретение запчастей, комплектующих, инструмента, хозинвентаря </t>
    </r>
    <r>
      <rPr>
        <b/>
        <sz val="10"/>
        <rFont val="Arial"/>
        <family val="2"/>
      </rPr>
      <t>(инструмент и МБП)</t>
    </r>
  </si>
  <si>
    <r>
      <t>непредвиденные расходы на ремонты, замену оборудования (</t>
    </r>
    <r>
      <rPr>
        <b/>
        <sz val="10"/>
        <rFont val="Arial"/>
        <family val="2"/>
      </rPr>
      <t>клей, затирка, керамогранит)</t>
    </r>
  </si>
  <si>
    <r>
      <t>устранение поломок (двери, окна, доводчики, ручки, светильники и т.д.)</t>
    </r>
    <r>
      <rPr>
        <b/>
        <sz val="10"/>
        <rFont val="Arial"/>
        <family val="2"/>
      </rPr>
      <t>(войлок, защелки, шпингалеты)</t>
    </r>
  </si>
  <si>
    <r>
      <t>канцелярские расходы, расходные материалы для оргтехники (картриджи, дискеты)</t>
    </r>
    <r>
      <rPr>
        <b/>
        <sz val="10"/>
        <rFont val="Arial"/>
        <family val="2"/>
      </rPr>
      <t>(оргтехника (ПК, МФУ, картриджи)</t>
    </r>
  </si>
  <si>
    <t>сантехматериалы, запорная арматура</t>
  </si>
  <si>
    <t>хозтовары</t>
  </si>
  <si>
    <t>инструмент и МБП</t>
  </si>
  <si>
    <t>опрессовочник для трубопроводов (УЦСК Сантехкомплект-Урал)</t>
  </si>
  <si>
    <t>План 2012</t>
  </si>
  <si>
    <t>План 2011</t>
  </si>
  <si>
    <t>Работы по ремонту систем пожарной сигнализации (ПС) подземного гаража по ул. Татищева 92 в г.Екатеринбурге и ввод систем в режим технического обслуживания</t>
  </si>
  <si>
    <t>Ремонт автоматики пожаротушения и приточной вентиляции</t>
  </si>
  <si>
    <t>2.1.11.</t>
  </si>
  <si>
    <t>2.1.12.</t>
  </si>
  <si>
    <t>аренда офиса ТСЖ ( с января по июнь)</t>
  </si>
  <si>
    <t xml:space="preserve">Ячейка электромеханическая 4 шт. на СО СОУ-1, СТГ-1 </t>
  </si>
  <si>
    <t>Восстановительные работы на автоматической системе противодымной защиты (АСПДЗ) и оповещения подземного гаража от превышения концентрации СО</t>
  </si>
  <si>
    <t>механизированная уборка пола гаража пылесосом (1 раз в квартал)</t>
  </si>
  <si>
    <t>установка малых архитектурных форм на детской площадке</t>
  </si>
  <si>
    <t>Анализ воды СЭС Роспотребнадзор 2 шт. ( на металлы и общий)</t>
  </si>
  <si>
    <t>электрики</t>
  </si>
  <si>
    <t>промывка теплообменников, замена обратных клапанов и зап. арматуры на насосоной станции 7А</t>
  </si>
  <si>
    <t>госпошлина, юридические расходы</t>
  </si>
  <si>
    <t>ремонт, покраска, заборов, детской площадки</t>
  </si>
  <si>
    <t>приобретение запорной арматуры, запчастей, комплектующих, инструмента, хозинвентаря</t>
  </si>
  <si>
    <t>страхование лифтов, ответственности ТСЖ за возможный ущерб</t>
  </si>
  <si>
    <t>Резервный фонд (ликвидация аварий, непредвиденные расходы)</t>
  </si>
  <si>
    <t>САЛЬДО ДОХОДОВ-РАСХОДОВ без учета капремонта</t>
  </si>
  <si>
    <t>Экономия предыдущего года</t>
  </si>
  <si>
    <t>фонд оплаты труда работников+ЕСН+РК (АУП, бухгалтер)</t>
  </si>
  <si>
    <t>% к общей площади</t>
  </si>
  <si>
    <t>План 2012 гараж</t>
  </si>
  <si>
    <t>Факт 2011</t>
  </si>
  <si>
    <t>Факт 2011 гараж</t>
  </si>
  <si>
    <t>обслуживание автоматики ОПС и пожаротушения (гараж)</t>
  </si>
  <si>
    <t>побелка стен гаража</t>
  </si>
  <si>
    <t>ТСЖ "ТАТИЩЕВА,92" на 2012 год.</t>
  </si>
  <si>
    <t>ТСЖ "ТАТИЩЕВА,92" на 2011-2012 год.</t>
  </si>
  <si>
    <t>Тарифы</t>
  </si>
  <si>
    <t>Кап. Ремонт</t>
  </si>
  <si>
    <t>На сод. жилья</t>
  </si>
  <si>
    <t>Итого затраты на управление и содержание общего имущества за вычетом  дополнительных поступлений  (стр. 2.3. - стр. 1.1. - стр. 1.3.)</t>
  </si>
  <si>
    <t>Доля статьи в тарифе, руб.</t>
  </si>
  <si>
    <t>Кап.ремонт</t>
  </si>
  <si>
    <t>Сод. помещения</t>
  </si>
  <si>
    <t>2.12.</t>
  </si>
  <si>
    <t>Прочие расходы (выплата по решению суда по кв.8 и офису 14)</t>
  </si>
  <si>
    <t>УВАЖАЕМЫЕ СОБСТВЕННИКИ ГАРАЖНЫХ БОКСОВ !</t>
  </si>
  <si>
    <t xml:space="preserve">    Ознакомьтесь пожалуйста с отчетом за 2011 год и плановой сметой по обслуживанию и содержанию гаража на 2012 год. Замечания,вопросы, предложения и дополнения принимаются до 23 декабря 2012 года в письменном виде на имя Председателя Карманова К.В., члена правления от гаража Рудакова Андрея Игоревича кв. 208, гар. бокс № 47 или по электронной почте по адресу KARMANOVKV@YANDEX.RU                                                            Общее собрание собственников гаражей состоится в период с 26 по 28 декабря. Время и место собрания будет сообщено дополнительно. Следите за объявлениями на информационных досках.                                                                                                                                       </t>
  </si>
  <si>
    <t xml:space="preserve">Председатель Правления ТСЖ "Татищева,92"  Карманов К.В.   </t>
  </si>
  <si>
    <t>СМЕТА ДОХОДОВ И РАСХОДОВ (ГАРАЖ)</t>
  </si>
  <si>
    <t>жилые пм.</t>
  </si>
  <si>
    <t>капремонт</t>
  </si>
  <si>
    <t>ТАРИФЫ, руб./кв.м.</t>
  </si>
  <si>
    <t>ПЛАН 2012 год</t>
  </si>
  <si>
    <t>сварочные работы по замене отводов от стояков в кв.6,17,35, обратного клапана насосной ИТП7, участка трубы с задвижкой ИТП 10</t>
  </si>
  <si>
    <t>ООО "Электрические технологии" (лампы, светильники)</t>
  </si>
  <si>
    <t>ООО "Красный угол"</t>
  </si>
  <si>
    <t>изготовление козырька для мусорных контейнеров</t>
  </si>
  <si>
    <t>замена обратных клапанов и запорной арматуры</t>
  </si>
  <si>
    <t>сварочные работы по ремонту контура нагрева калорифера приточной вентиляции гаража, трубных соединений ( 3 шт.) на отводах стояков от магистрали ГВс секция 7а (5-7 подъезды), отводы стояков ХВС, ГВС в кв. 43</t>
  </si>
  <si>
    <t>замена обратных клапанов и зап. арматуры, монтаж 2-х насосов на насосной станции 7А</t>
  </si>
  <si>
    <t>изготовление козырьков над входами в гараж</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</si>
</sst>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
    <numFmt numFmtId="167" formatCode="#,##0.000"/>
    <numFmt numFmtId="168" formatCode="0.000%"/>
    <numFmt numFmtId="169" formatCode="#,##0.0000"/>
  </numFmts>
  <fonts count="47">
    <font>
      <sz val="11"/>
      <color indexed="8"/>
      <name val="Calibri"/>
      <family val="2"/>
    </font>
    <font>
      <sz val="8"/>
      <name val="Calibri"/>
      <family val="2"/>
    </font>
    <font>
      <b/>
      <sz val="10"/>
      <color indexed="8"/>
      <name val="Arial"/>
      <family val="2"/>
    </font>
    <font>
      <sz val="10"/>
      <color indexed="8"/>
      <name val="Arial"/>
      <family val="2"/>
    </font>
    <font>
      <b/>
      <sz val="10"/>
      <color indexed="12"/>
      <name val="Arial"/>
      <family val="2"/>
    </font>
    <font>
      <sz val="10"/>
      <name val="Arial"/>
      <family val="2"/>
    </font>
    <font>
      <sz val="8"/>
      <name val="Tahoma"/>
      <family val="0"/>
    </font>
    <font>
      <sz val="10"/>
      <name val="Arial Cyr"/>
      <family val="0"/>
    </font>
    <font>
      <b/>
      <sz val="11"/>
      <color indexed="8"/>
      <name val="Calibri"/>
      <family val="2"/>
    </font>
    <font>
      <sz val="11"/>
      <color indexed="9"/>
      <name val="Calibri"/>
      <family val="2"/>
    </font>
    <font>
      <b/>
      <sz val="10"/>
      <name val="Arial"/>
      <family val="2"/>
    </font>
    <font>
      <b/>
      <sz val="8"/>
      <name val="Tahoma"/>
      <family val="0"/>
    </font>
    <font>
      <b/>
      <sz val="10"/>
      <color indexed="10"/>
      <name val="Arial"/>
      <family val="2"/>
    </font>
    <font>
      <sz val="10"/>
      <color indexed="10"/>
      <name val="Arial"/>
      <family val="2"/>
    </font>
    <font>
      <b/>
      <sz val="11"/>
      <name val="Calibri"/>
      <family val="2"/>
    </font>
    <font>
      <sz val="8"/>
      <name val="Arial"/>
      <family val="2"/>
    </font>
    <font>
      <sz val="8"/>
      <color indexed="8"/>
      <name val="MS Shell Dlg"/>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i/>
      <sz val="11"/>
      <color indexed="23"/>
      <name val="Calibri"/>
      <family val="2"/>
    </font>
    <font>
      <sz val="11"/>
      <color indexed="52"/>
      <name val="Calibri"/>
      <family val="2"/>
    </font>
    <font>
      <sz val="11"/>
      <color indexed="17"/>
      <name val="Calibri"/>
      <family val="2"/>
    </font>
    <font>
      <sz val="9"/>
      <name val="Tahoma"/>
      <family val="0"/>
    </font>
    <font>
      <b/>
      <sz val="9"/>
      <name val="Tahoma"/>
      <family val="0"/>
    </font>
    <font>
      <sz val="10"/>
      <color indexed="12"/>
      <name val="Arial"/>
      <family val="2"/>
    </font>
    <font>
      <i/>
      <sz val="10"/>
      <color indexed="8"/>
      <name val="Arial"/>
      <family val="2"/>
    </font>
    <font>
      <b/>
      <sz val="10"/>
      <name val="Arial Cyr"/>
      <family val="0"/>
    </font>
    <font>
      <sz val="20"/>
      <color indexed="8"/>
      <name val="Arial"/>
      <family val="2"/>
    </font>
    <font>
      <sz val="18"/>
      <color indexed="8"/>
      <name val="Arial"/>
      <family val="2"/>
    </font>
    <font>
      <b/>
      <sz val="22"/>
      <color indexed="8"/>
      <name val="Arial"/>
      <family val="2"/>
    </font>
    <font>
      <sz val="32"/>
      <color indexed="8"/>
      <name val="Arial"/>
      <family val="2"/>
    </font>
    <font>
      <b/>
      <i/>
      <sz val="10"/>
      <name val="Arial"/>
      <family val="2"/>
    </font>
    <font>
      <b/>
      <i/>
      <sz val="10"/>
      <color indexed="12"/>
      <name val="Arial"/>
      <family val="2"/>
    </font>
    <font>
      <b/>
      <i/>
      <sz val="10"/>
      <color indexed="8"/>
      <name val="Arial"/>
      <family val="2"/>
    </font>
    <font>
      <i/>
      <sz val="10"/>
      <color indexed="12"/>
      <name val="Arial"/>
      <family val="2"/>
    </font>
    <font>
      <u val="single"/>
      <sz val="11"/>
      <color indexed="12"/>
      <name val="Calibri"/>
      <family val="2"/>
    </font>
    <font>
      <b/>
      <sz val="11"/>
      <color indexed="9"/>
      <name val="Calibri"/>
      <family val="2"/>
    </font>
    <font>
      <u val="single"/>
      <sz val="11"/>
      <color indexed="20"/>
      <name val="Calibri"/>
      <family val="2"/>
    </font>
    <font>
      <sz val="11"/>
      <color indexed="20"/>
      <name val="Calibri"/>
      <family val="2"/>
    </font>
    <font>
      <sz val="11"/>
      <color indexed="10"/>
      <name val="Calibri"/>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4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8" fillId="0" borderId="6" applyNumberFormat="0" applyFill="0" applyAlignment="0" applyProtection="0"/>
    <xf numFmtId="0" fontId="42" fillId="21" borderId="7" applyNumberFormat="0" applyAlignment="0" applyProtection="0"/>
    <xf numFmtId="0" fontId="23" fillId="0" borderId="0" applyNumberFormat="0" applyFill="0" applyBorder="0" applyAlignment="0" applyProtection="0"/>
    <xf numFmtId="0" fontId="24" fillId="22" borderId="0" applyNumberFormat="0" applyBorder="0" applyAlignment="0" applyProtection="0"/>
    <xf numFmtId="0" fontId="7" fillId="0" borderId="0">
      <alignment/>
      <protection/>
    </xf>
    <xf numFmtId="0" fontId="15" fillId="0" borderId="0">
      <alignment horizontal="left"/>
      <protection/>
    </xf>
    <xf numFmtId="0" fontId="43" fillId="0" borderId="0" applyNumberFormat="0" applyFill="0" applyBorder="0" applyAlignment="0" applyProtection="0"/>
    <xf numFmtId="0" fontId="44" fillId="3" borderId="0" applyNumberFormat="0" applyBorder="0" applyAlignment="0" applyProtection="0"/>
    <xf numFmtId="0" fontId="2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9" fontId="7" fillId="0" borderId="0" applyFont="0" applyFill="0" applyBorder="0" applyAlignment="0" applyProtection="0"/>
    <xf numFmtId="9" fontId="0" fillId="0" borderId="0" applyFont="0" applyFill="0" applyBorder="0" applyAlignment="0" applyProtection="0"/>
    <xf numFmtId="0" fontId="26"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cellStyleXfs>
  <cellXfs count="194">
    <xf numFmtId="0" fontId="0" fillId="0" borderId="0" xfId="0" applyAlignment="1">
      <alignment/>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4" fontId="2" fillId="0" borderId="10" xfId="0" applyNumberFormat="1" applyFont="1" applyBorder="1" applyAlignment="1">
      <alignment/>
    </xf>
    <xf numFmtId="4" fontId="3" fillId="0" borderId="10" xfId="0" applyNumberFormat="1" applyFont="1" applyBorder="1" applyAlignment="1">
      <alignment/>
    </xf>
    <xf numFmtId="4" fontId="2" fillId="0" borderId="11" xfId="0" applyNumberFormat="1" applyFont="1" applyBorder="1" applyAlignment="1">
      <alignment/>
    </xf>
    <xf numFmtId="4" fontId="4" fillId="0" borderId="0" xfId="0" applyNumberFormat="1" applyFont="1" applyBorder="1" applyAlignment="1">
      <alignment/>
    </xf>
    <xf numFmtId="0" fontId="3" fillId="0" borderId="10" xfId="0" applyFont="1" applyBorder="1" applyAlignment="1">
      <alignment wrapText="1"/>
    </xf>
    <xf numFmtId="4" fontId="4" fillId="0" borderId="0" xfId="0" applyNumberFormat="1" applyFont="1" applyAlignment="1">
      <alignment/>
    </xf>
    <xf numFmtId="4" fontId="5" fillId="0" borderId="0" xfId="0" applyNumberFormat="1" applyFont="1" applyAlignment="1">
      <alignment/>
    </xf>
    <xf numFmtId="4" fontId="5" fillId="0" borderId="10" xfId="0" applyNumberFormat="1" applyFont="1" applyBorder="1" applyAlignment="1">
      <alignment/>
    </xf>
    <xf numFmtId="4" fontId="5" fillId="0" borderId="10" xfId="0" applyNumberFormat="1" applyFont="1" applyFill="1" applyBorder="1" applyAlignment="1">
      <alignment/>
    </xf>
    <xf numFmtId="4" fontId="2" fillId="0" borderId="10" xfId="0" applyNumberFormat="1" applyFont="1" applyBorder="1" applyAlignment="1">
      <alignment wrapText="1"/>
    </xf>
    <xf numFmtId="0" fontId="2" fillId="0" borderId="10" xfId="0" applyFont="1" applyBorder="1" applyAlignment="1">
      <alignment horizontal="left" vertical="center" wrapText="1"/>
    </xf>
    <xf numFmtId="0" fontId="3" fillId="0" borderId="10" xfId="0" applyFont="1" applyBorder="1" applyAlignment="1">
      <alignment horizontal="left" vertical="center" wrapText="1"/>
    </xf>
    <xf numFmtId="16" fontId="3" fillId="0" borderId="10" xfId="0" applyNumberFormat="1" applyFont="1" applyBorder="1" applyAlignment="1">
      <alignment horizontal="left" vertical="center" wrapText="1"/>
    </xf>
    <xf numFmtId="0" fontId="2" fillId="0" borderId="11" xfId="0" applyFont="1" applyBorder="1" applyAlignment="1">
      <alignment horizontal="left" vertical="center" wrapText="1"/>
    </xf>
    <xf numFmtId="4" fontId="2" fillId="0" borderId="10" xfId="0" applyNumberFormat="1" applyFont="1" applyBorder="1" applyAlignment="1">
      <alignment horizontal="center" wrapText="1"/>
    </xf>
    <xf numFmtId="0" fontId="2" fillId="0" borderId="0" xfId="0" applyFont="1" applyFill="1" applyBorder="1" applyAlignment="1">
      <alignment horizontal="right" wrapText="1"/>
    </xf>
    <xf numFmtId="4" fontId="0" fillId="0" borderId="10" xfId="0" applyNumberFormat="1" applyBorder="1" applyAlignment="1">
      <alignment/>
    </xf>
    <xf numFmtId="4" fontId="0" fillId="0" borderId="0" xfId="0" applyNumberFormat="1" applyAlignment="1">
      <alignment/>
    </xf>
    <xf numFmtId="4" fontId="10" fillId="0" borderId="0" xfId="0" applyNumberFormat="1" applyFont="1" applyAlignment="1">
      <alignment/>
    </xf>
    <xf numFmtId="0" fontId="10" fillId="0" borderId="0" xfId="0" applyFont="1" applyBorder="1" applyAlignment="1">
      <alignment horizontal="center" vertical="center"/>
    </xf>
    <xf numFmtId="0" fontId="10" fillId="0" borderId="12" xfId="0" applyFont="1" applyBorder="1" applyAlignment="1">
      <alignment/>
    </xf>
    <xf numFmtId="4" fontId="10" fillId="0" borderId="12" xfId="0" applyNumberFormat="1" applyFont="1" applyBorder="1" applyAlignment="1">
      <alignment/>
    </xf>
    <xf numFmtId="0" fontId="10" fillId="0" borderId="0" xfId="0" applyFont="1" applyAlignment="1">
      <alignment/>
    </xf>
    <xf numFmtId="0" fontId="10" fillId="0" borderId="0" xfId="0" applyFont="1" applyBorder="1" applyAlignment="1">
      <alignment/>
    </xf>
    <xf numFmtId="4" fontId="10" fillId="0" borderId="0" xfId="0" applyNumberFormat="1" applyFont="1" applyBorder="1" applyAlignment="1">
      <alignment/>
    </xf>
    <xf numFmtId="0" fontId="10" fillId="0" borderId="10" xfId="0" applyFont="1" applyBorder="1" applyAlignment="1">
      <alignment horizontal="center" vertical="center"/>
    </xf>
    <xf numFmtId="0" fontId="10" fillId="0" borderId="10" xfId="0" applyFont="1" applyBorder="1" applyAlignment="1">
      <alignment wrapText="1"/>
    </xf>
    <xf numFmtId="4" fontId="10" fillId="0" borderId="10" xfId="0" applyNumberFormat="1" applyFont="1" applyBorder="1" applyAlignment="1">
      <alignment/>
    </xf>
    <xf numFmtId="0" fontId="5" fillId="0" borderId="0" xfId="0" applyFont="1" applyAlignment="1">
      <alignment/>
    </xf>
    <xf numFmtId="0" fontId="10" fillId="0" borderId="10" xfId="0" applyFont="1" applyBorder="1" applyAlignment="1">
      <alignment horizontal="center" vertical="center" wrapText="1"/>
    </xf>
    <xf numFmtId="0" fontId="10" fillId="0" borderId="10" xfId="0" applyFont="1" applyBorder="1" applyAlignment="1">
      <alignment horizontal="left" vertical="center" wrapText="1"/>
    </xf>
    <xf numFmtId="4" fontId="10" fillId="0" borderId="10" xfId="0" applyNumberFormat="1" applyFont="1" applyBorder="1" applyAlignment="1">
      <alignment wrapText="1"/>
    </xf>
    <xf numFmtId="0" fontId="5" fillId="0" borderId="10" xfId="0" applyFont="1" applyBorder="1" applyAlignment="1">
      <alignment horizontal="center" vertical="center"/>
    </xf>
    <xf numFmtId="0" fontId="5" fillId="0" borderId="10" xfId="0" applyFont="1" applyBorder="1" applyAlignment="1">
      <alignment horizontal="left" vertical="center"/>
    </xf>
    <xf numFmtId="16" fontId="5" fillId="0" borderId="10" xfId="0" applyNumberFormat="1" applyFont="1" applyBorder="1" applyAlignment="1">
      <alignment horizontal="center" vertical="center"/>
    </xf>
    <xf numFmtId="16" fontId="5" fillId="0" borderId="10" xfId="0" applyNumberFormat="1" applyFont="1" applyBorder="1" applyAlignment="1">
      <alignment horizontal="left" vertical="center"/>
    </xf>
    <xf numFmtId="0" fontId="10" fillId="0" borderId="10" xfId="0" applyFont="1" applyBorder="1" applyAlignment="1">
      <alignment horizontal="left" vertical="center"/>
    </xf>
    <xf numFmtId="0" fontId="10" fillId="0" borderId="11" xfId="0" applyFont="1" applyBorder="1" applyAlignment="1">
      <alignment horizontal="center" vertical="center"/>
    </xf>
    <xf numFmtId="0" fontId="10" fillId="0" borderId="10" xfId="0" applyFont="1" applyBorder="1" applyAlignment="1">
      <alignment horizontal="left"/>
    </xf>
    <xf numFmtId="4" fontId="10" fillId="0" borderId="11" xfId="0" applyNumberFormat="1" applyFont="1" applyBorder="1" applyAlignment="1">
      <alignment/>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13" xfId="0" applyFont="1" applyBorder="1" applyAlignment="1">
      <alignment/>
    </xf>
    <xf numFmtId="0" fontId="10" fillId="0" borderId="14" xfId="0" applyFont="1" applyBorder="1" applyAlignment="1">
      <alignment horizontal="center" vertical="center" wrapText="1"/>
    </xf>
    <xf numFmtId="0" fontId="10" fillId="0" borderId="14" xfId="0" applyFont="1" applyBorder="1" applyAlignment="1">
      <alignment horizontal="center" vertical="center"/>
    </xf>
    <xf numFmtId="0" fontId="5" fillId="0" borderId="10" xfId="0" applyFont="1" applyBorder="1" applyAlignment="1">
      <alignment/>
    </xf>
    <xf numFmtId="0" fontId="10" fillId="0" borderId="10" xfId="0" applyFont="1" applyBorder="1" applyAlignment="1">
      <alignment/>
    </xf>
    <xf numFmtId="0" fontId="10" fillId="0" borderId="10" xfId="0" applyFont="1" applyBorder="1" applyAlignment="1">
      <alignment vertical="center" wrapText="1"/>
    </xf>
    <xf numFmtId="0" fontId="5" fillId="0" borderId="10" xfId="0" applyFont="1" applyBorder="1" applyAlignment="1">
      <alignment wrapText="1"/>
    </xf>
    <xf numFmtId="4" fontId="10" fillId="0" borderId="10" xfId="0" applyNumberFormat="1" applyFont="1" applyFill="1" applyBorder="1" applyAlignment="1">
      <alignment/>
    </xf>
    <xf numFmtId="4" fontId="10" fillId="24" borderId="10" xfId="0" applyNumberFormat="1" applyFont="1" applyFill="1" applyBorder="1" applyAlignment="1">
      <alignment/>
    </xf>
    <xf numFmtId="10" fontId="5" fillId="0" borderId="0" xfId="59" applyNumberFormat="1" applyFont="1" applyAlignment="1">
      <alignment/>
    </xf>
    <xf numFmtId="0" fontId="10" fillId="0" borderId="0" xfId="0" applyFont="1" applyFill="1" applyBorder="1" applyAlignment="1">
      <alignment wrapText="1"/>
    </xf>
    <xf numFmtId="0" fontId="10" fillId="0" borderId="12" xfId="0" applyFont="1" applyBorder="1" applyAlignment="1">
      <alignment horizontal="left" vertical="center" wrapText="1"/>
    </xf>
    <xf numFmtId="4" fontId="9" fillId="0" borderId="0" xfId="0" applyNumberFormat="1" applyFont="1" applyAlignment="1">
      <alignment/>
    </xf>
    <xf numFmtId="0" fontId="9" fillId="0" borderId="0" xfId="0" applyFont="1" applyAlignment="1">
      <alignment/>
    </xf>
    <xf numFmtId="2" fontId="9" fillId="0" borderId="0" xfId="0" applyNumberFormat="1" applyFont="1" applyAlignment="1">
      <alignment/>
    </xf>
    <xf numFmtId="166" fontId="0" fillId="0" borderId="0" xfId="59" applyNumberFormat="1" applyFont="1" applyAlignment="1">
      <alignment/>
    </xf>
    <xf numFmtId="2" fontId="3" fillId="0" borderId="10" xfId="0" applyNumberFormat="1" applyFont="1" applyBorder="1" applyAlignment="1">
      <alignment wrapText="1"/>
    </xf>
    <xf numFmtId="0" fontId="2" fillId="0" borderId="10" xfId="0" applyFont="1" applyFill="1" applyBorder="1" applyAlignment="1">
      <alignment horizontal="center" vertical="center" wrapText="1"/>
    </xf>
    <xf numFmtId="4" fontId="8" fillId="0" borderId="10" xfId="0" applyNumberFormat="1" applyFont="1" applyBorder="1" applyAlignment="1">
      <alignment/>
    </xf>
    <xf numFmtId="2" fontId="2" fillId="0" borderId="10" xfId="0" applyNumberFormat="1" applyFont="1" applyBorder="1" applyAlignment="1">
      <alignment wrapText="1"/>
    </xf>
    <xf numFmtId="2" fontId="0" fillId="0" borderId="10" xfId="0" applyNumberFormat="1" applyBorder="1" applyAlignment="1">
      <alignment/>
    </xf>
    <xf numFmtId="0" fontId="5" fillId="0" borderId="10" xfId="0" applyFont="1" applyBorder="1" applyAlignment="1">
      <alignment wrapText="1" shrinkToFit="1"/>
    </xf>
    <xf numFmtId="0" fontId="10" fillId="0" borderId="10" xfId="0" applyFont="1" applyBorder="1" applyAlignment="1">
      <alignment wrapText="1" shrinkToFit="1"/>
    </xf>
    <xf numFmtId="0" fontId="0" fillId="0" borderId="10" xfId="0" applyBorder="1" applyAlignment="1">
      <alignment horizontal="left" wrapText="1"/>
    </xf>
    <xf numFmtId="4" fontId="5" fillId="0" borderId="10" xfId="0" applyNumberFormat="1" applyFont="1" applyBorder="1" applyAlignment="1">
      <alignment horizontal="center" vertical="center"/>
    </xf>
    <xf numFmtId="0" fontId="5" fillId="0" borderId="10" xfId="0" applyFont="1" applyBorder="1" applyAlignment="1">
      <alignment horizontal="left" wrapText="1"/>
    </xf>
    <xf numFmtId="4" fontId="12" fillId="0" borderId="0" xfId="0" applyNumberFormat="1" applyFont="1" applyAlignment="1">
      <alignment/>
    </xf>
    <xf numFmtId="10" fontId="13" fillId="0" borderId="0" xfId="59" applyNumberFormat="1" applyFont="1" applyAlignment="1">
      <alignment/>
    </xf>
    <xf numFmtId="0" fontId="13" fillId="0" borderId="0" xfId="0" applyFont="1" applyAlignment="1">
      <alignment/>
    </xf>
    <xf numFmtId="4" fontId="5" fillId="24" borderId="10" xfId="0" applyNumberFormat="1" applyFont="1" applyFill="1" applyBorder="1" applyAlignment="1">
      <alignment/>
    </xf>
    <xf numFmtId="0" fontId="0" fillId="0" borderId="10" xfId="0" applyFont="1" applyBorder="1" applyAlignment="1">
      <alignment horizontal="left" wrapText="1"/>
    </xf>
    <xf numFmtId="0" fontId="14" fillId="0" borderId="10" xfId="0" applyFont="1" applyBorder="1" applyAlignment="1">
      <alignment/>
    </xf>
    <xf numFmtId="0" fontId="5" fillId="0" borderId="0" xfId="0" applyFont="1" applyAlignment="1">
      <alignment horizontal="right"/>
    </xf>
    <xf numFmtId="0" fontId="10" fillId="0" borderId="0" xfId="0" applyFont="1" applyBorder="1" applyAlignment="1">
      <alignment horizontal="right"/>
    </xf>
    <xf numFmtId="0" fontId="12" fillId="0" borderId="0" xfId="0" applyFont="1" applyBorder="1" applyAlignment="1">
      <alignment horizontal="right"/>
    </xf>
    <xf numFmtId="4" fontId="12" fillId="0" borderId="0" xfId="0" applyNumberFormat="1" applyFont="1" applyBorder="1" applyAlignment="1">
      <alignment/>
    </xf>
    <xf numFmtId="0" fontId="13" fillId="0" borderId="0" xfId="0" applyFont="1" applyAlignment="1">
      <alignment/>
    </xf>
    <xf numFmtId="4" fontId="13" fillId="0" borderId="0" xfId="0" applyNumberFormat="1" applyFont="1" applyAlignment="1">
      <alignment/>
    </xf>
    <xf numFmtId="4" fontId="13" fillId="0" borderId="10" xfId="0" applyNumberFormat="1" applyFont="1" applyBorder="1" applyAlignment="1">
      <alignment/>
    </xf>
    <xf numFmtId="4" fontId="2" fillId="0" borderId="0" xfId="0" applyNumberFormat="1" applyFont="1" applyBorder="1" applyAlignment="1">
      <alignment/>
    </xf>
    <xf numFmtId="4" fontId="5" fillId="0" borderId="0" xfId="0" applyNumberFormat="1" applyFont="1" applyBorder="1" applyAlignment="1">
      <alignment/>
    </xf>
    <xf numFmtId="0" fontId="5" fillId="0" borderId="10" xfId="0" applyFont="1" applyBorder="1" applyAlignment="1">
      <alignment vertical="center" wrapText="1"/>
    </xf>
    <xf numFmtId="0" fontId="3" fillId="0" borderId="0" xfId="0" applyFont="1" applyBorder="1" applyAlignment="1">
      <alignment wrapText="1"/>
    </xf>
    <xf numFmtId="4" fontId="2" fillId="0" borderId="0" xfId="0" applyNumberFormat="1" applyFont="1" applyFill="1" applyBorder="1" applyAlignment="1">
      <alignment/>
    </xf>
    <xf numFmtId="0" fontId="5" fillId="0" borderId="0" xfId="0" applyFont="1" applyBorder="1" applyAlignment="1">
      <alignment vertical="center" wrapText="1"/>
    </xf>
    <xf numFmtId="4" fontId="3" fillId="0" borderId="0" xfId="0" applyNumberFormat="1" applyFont="1" applyBorder="1" applyAlignment="1">
      <alignment/>
    </xf>
    <xf numFmtId="0" fontId="0" fillId="0" borderId="0" xfId="0" applyBorder="1" applyAlignment="1">
      <alignment/>
    </xf>
    <xf numFmtId="4" fontId="3" fillId="0" borderId="0" xfId="0" applyNumberFormat="1" applyFont="1" applyFill="1" applyBorder="1" applyAlignment="1">
      <alignment/>
    </xf>
    <xf numFmtId="166" fontId="0" fillId="0" borderId="0" xfId="59" applyNumberFormat="1" applyFont="1" applyBorder="1" applyAlignment="1">
      <alignment/>
    </xf>
    <xf numFmtId="0" fontId="2" fillId="0" borderId="0" xfId="0" applyFont="1" applyFill="1" applyBorder="1" applyAlignment="1">
      <alignment horizontal="left" wrapText="1"/>
    </xf>
    <xf numFmtId="4" fontId="2" fillId="0" borderId="0" xfId="0" applyNumberFormat="1" applyFont="1" applyBorder="1" applyAlignment="1">
      <alignment horizontal="center" wrapText="1"/>
    </xf>
    <xf numFmtId="0" fontId="0" fillId="0" borderId="0" xfId="0" applyBorder="1" applyAlignment="1">
      <alignment wrapText="1"/>
    </xf>
    <xf numFmtId="4" fontId="0" fillId="0" borderId="0" xfId="0" applyNumberFormat="1" applyBorder="1" applyAlignment="1">
      <alignment/>
    </xf>
    <xf numFmtId="0" fontId="2" fillId="0" borderId="0" xfId="0" applyFont="1" applyBorder="1" applyAlignment="1">
      <alignment wrapText="1"/>
    </xf>
    <xf numFmtId="0" fontId="8" fillId="0" borderId="0" xfId="0" applyFont="1" applyBorder="1" applyAlignment="1">
      <alignment wrapText="1"/>
    </xf>
    <xf numFmtId="0" fontId="8" fillId="0" borderId="0" xfId="0" applyFont="1" applyBorder="1" applyAlignment="1">
      <alignment/>
    </xf>
    <xf numFmtId="4" fontId="8" fillId="0" borderId="0" xfId="0" applyNumberFormat="1" applyFont="1" applyBorder="1" applyAlignment="1">
      <alignment/>
    </xf>
    <xf numFmtId="0" fontId="10" fillId="0" borderId="0" xfId="0" applyFont="1" applyBorder="1" applyAlignment="1">
      <alignment vertical="center" wrapText="1"/>
    </xf>
    <xf numFmtId="4" fontId="5" fillId="0" borderId="10" xfId="0" applyNumberFormat="1" applyFont="1" applyBorder="1" applyAlignment="1">
      <alignment horizontal="right"/>
    </xf>
    <xf numFmtId="0" fontId="16" fillId="24" borderId="8" xfId="54" applyFont="1" applyFill="1" applyBorder="1" applyAlignment="1">
      <alignment horizontal="left" vertical="top" wrapText="1"/>
      <protection/>
    </xf>
    <xf numFmtId="165" fontId="5" fillId="0" borderId="10" xfId="0" applyNumberFormat="1" applyFont="1" applyBorder="1" applyAlignment="1">
      <alignment horizontal="center" wrapText="1"/>
    </xf>
    <xf numFmtId="165" fontId="5" fillId="0" borderId="10" xfId="0" applyNumberFormat="1" applyFont="1" applyBorder="1" applyAlignment="1">
      <alignment horizontal="center"/>
    </xf>
    <xf numFmtId="3" fontId="5" fillId="0" borderId="10" xfId="0" applyNumberFormat="1" applyFont="1" applyBorder="1" applyAlignment="1">
      <alignment horizontal="center"/>
    </xf>
    <xf numFmtId="0" fontId="10" fillId="0" borderId="10" xfId="0" applyFont="1" applyBorder="1" applyAlignment="1">
      <alignment horizontal="left" wrapText="1"/>
    </xf>
    <xf numFmtId="0" fontId="10" fillId="0" borderId="10" xfId="0" applyFont="1" applyBorder="1" applyAlignment="1">
      <alignment horizontal="center" wrapText="1"/>
    </xf>
    <xf numFmtId="3" fontId="10" fillId="0" borderId="10" xfId="0" applyNumberFormat="1" applyFont="1" applyBorder="1" applyAlignment="1">
      <alignment/>
    </xf>
    <xf numFmtId="0" fontId="5" fillId="0" borderId="10" xfId="0" applyFont="1" applyBorder="1" applyAlignment="1">
      <alignment horizontal="right" wrapText="1"/>
    </xf>
    <xf numFmtId="0" fontId="10" fillId="0" borderId="10" xfId="0" applyFont="1" applyFill="1" applyBorder="1" applyAlignment="1">
      <alignment horizontal="right" wrapText="1"/>
    </xf>
    <xf numFmtId="0" fontId="10" fillId="0" borderId="10" xfId="0" applyFont="1" applyFill="1" applyBorder="1" applyAlignment="1">
      <alignment wrapText="1"/>
    </xf>
    <xf numFmtId="0" fontId="5" fillId="0" borderId="10" xfId="0" applyFont="1" applyBorder="1" applyAlignment="1">
      <alignment horizontal="left"/>
    </xf>
    <xf numFmtId="0" fontId="10" fillId="0" borderId="10" xfId="0" applyFont="1" applyBorder="1" applyAlignment="1">
      <alignment horizontal="right" wrapText="1"/>
    </xf>
    <xf numFmtId="1" fontId="10" fillId="0" borderId="10" xfId="0" applyNumberFormat="1" applyFont="1" applyBorder="1" applyAlignment="1">
      <alignment horizontal="left"/>
    </xf>
    <xf numFmtId="0" fontId="10" fillId="0" borderId="10" xfId="0" applyFont="1" applyFill="1" applyBorder="1" applyAlignment="1">
      <alignment horizontal="left" wrapText="1"/>
    </xf>
    <xf numFmtId="1" fontId="5" fillId="0" borderId="10" xfId="0" applyNumberFormat="1" applyFont="1" applyBorder="1" applyAlignment="1">
      <alignment horizontal="left"/>
    </xf>
    <xf numFmtId="1" fontId="10" fillId="0" borderId="14" xfId="0" applyNumberFormat="1" applyFont="1" applyFill="1" applyBorder="1" applyAlignment="1">
      <alignment horizontal="left"/>
    </xf>
    <xf numFmtId="0" fontId="10" fillId="0" borderId="14" xfId="0" applyFont="1" applyFill="1" applyBorder="1" applyAlignment="1">
      <alignment horizontal="right" wrapText="1"/>
    </xf>
    <xf numFmtId="3" fontId="10" fillId="0" borderId="14" xfId="0" applyNumberFormat="1" applyFont="1" applyBorder="1" applyAlignment="1">
      <alignment/>
    </xf>
    <xf numFmtId="0" fontId="3" fillId="0" borderId="0" xfId="0" applyFont="1" applyAlignment="1">
      <alignment/>
    </xf>
    <xf numFmtId="0" fontId="3" fillId="0" borderId="0" xfId="0" applyFont="1" applyAlignment="1">
      <alignment wrapText="1"/>
    </xf>
    <xf numFmtId="0" fontId="3" fillId="0" borderId="0" xfId="0" applyFont="1" applyAlignment="1">
      <alignment horizontal="center" wrapText="1"/>
    </xf>
    <xf numFmtId="0" fontId="3" fillId="0" borderId="10" xfId="0" applyFont="1" applyBorder="1" applyAlignment="1">
      <alignment horizontal="center" wrapText="1"/>
    </xf>
    <xf numFmtId="0" fontId="3" fillId="0" borderId="10" xfId="0" applyFont="1" applyBorder="1" applyAlignment="1">
      <alignment horizontal="left" wrapText="1"/>
    </xf>
    <xf numFmtId="0" fontId="3" fillId="0" borderId="0" xfId="0" applyFont="1" applyBorder="1" applyAlignment="1">
      <alignment/>
    </xf>
    <xf numFmtId="0" fontId="3" fillId="0" borderId="0" xfId="0" applyFont="1" applyBorder="1" applyAlignment="1">
      <alignment horizontal="center" wrapText="1"/>
    </xf>
    <xf numFmtId="0" fontId="3" fillId="0" borderId="0" xfId="0" applyFont="1" applyFill="1" applyBorder="1" applyAlignment="1">
      <alignment horizontal="right" wrapText="1"/>
    </xf>
    <xf numFmtId="165" fontId="3" fillId="0" borderId="0" xfId="0" applyNumberFormat="1" applyFont="1" applyBorder="1" applyAlignment="1">
      <alignment horizontal="center"/>
    </xf>
    <xf numFmtId="3" fontId="3" fillId="0" borderId="10" xfId="0" applyNumberFormat="1" applyFont="1" applyBorder="1" applyAlignment="1">
      <alignment/>
    </xf>
    <xf numFmtId="0" fontId="3" fillId="0" borderId="10" xfId="0" applyFont="1" applyBorder="1" applyAlignment="1">
      <alignment horizontal="right" wrapText="1"/>
    </xf>
    <xf numFmtId="3" fontId="3" fillId="0" borderId="0" xfId="0" applyNumberFormat="1" applyFont="1" applyAlignment="1">
      <alignment/>
    </xf>
    <xf numFmtId="0" fontId="3" fillId="0" borderId="10" xfId="0" applyFont="1" applyBorder="1" applyAlignment="1">
      <alignment horizontal="left"/>
    </xf>
    <xf numFmtId="0" fontId="3" fillId="0" borderId="10" xfId="0" applyFont="1" applyFill="1" applyBorder="1" applyAlignment="1">
      <alignment horizontal="right" wrapText="1"/>
    </xf>
    <xf numFmtId="0" fontId="3" fillId="0" borderId="10" xfId="0" applyFont="1" applyBorder="1" applyAlignment="1">
      <alignment/>
    </xf>
    <xf numFmtId="1" fontId="3" fillId="0" borderId="10" xfId="0" applyNumberFormat="1" applyFont="1" applyBorder="1" applyAlignment="1">
      <alignment horizontal="left"/>
    </xf>
    <xf numFmtId="0" fontId="3" fillId="0" borderId="0" xfId="0" applyFont="1" applyAlignment="1">
      <alignment horizontal="right" wrapText="1"/>
    </xf>
    <xf numFmtId="3" fontId="3" fillId="0" borderId="0" xfId="0" applyNumberFormat="1" applyFont="1" applyBorder="1" applyAlignment="1">
      <alignment horizontal="center"/>
    </xf>
    <xf numFmtId="3" fontId="3" fillId="0" borderId="0" xfId="0" applyNumberFormat="1" applyFont="1" applyBorder="1" applyAlignment="1">
      <alignment/>
    </xf>
    <xf numFmtId="3" fontId="3" fillId="0" borderId="10" xfId="0" applyNumberFormat="1" applyFont="1" applyBorder="1" applyAlignment="1">
      <alignment horizontal="center" wrapText="1"/>
    </xf>
    <xf numFmtId="3" fontId="2" fillId="0" borderId="10" xfId="0" applyNumberFormat="1" applyFont="1" applyBorder="1" applyAlignment="1">
      <alignment horizontal="center"/>
    </xf>
    <xf numFmtId="4" fontId="30" fillId="0" borderId="10" xfId="0" applyNumberFormat="1" applyFont="1" applyBorder="1" applyAlignment="1">
      <alignment/>
    </xf>
    <xf numFmtId="0" fontId="31" fillId="0" borderId="10" xfId="0" applyFont="1" applyFill="1" applyBorder="1" applyAlignment="1">
      <alignment horizontal="right" wrapText="1"/>
    </xf>
    <xf numFmtId="3" fontId="31" fillId="0" borderId="10" xfId="0" applyNumberFormat="1" applyFont="1" applyBorder="1" applyAlignment="1">
      <alignment/>
    </xf>
    <xf numFmtId="3" fontId="31" fillId="0" borderId="10" xfId="0" applyNumberFormat="1" applyFont="1" applyFill="1" applyBorder="1" applyAlignment="1">
      <alignment horizontal="right" wrapText="1"/>
    </xf>
    <xf numFmtId="0" fontId="31" fillId="0" borderId="0" xfId="0" applyFont="1" applyAlignment="1">
      <alignment horizontal="right"/>
    </xf>
    <xf numFmtId="0" fontId="31" fillId="0" borderId="10" xfId="0" applyFont="1" applyBorder="1" applyAlignment="1">
      <alignment horizontal="right" wrapText="1"/>
    </xf>
    <xf numFmtId="1" fontId="3" fillId="0" borderId="11" xfId="0" applyNumberFormat="1" applyFont="1" applyBorder="1" applyAlignment="1">
      <alignment horizontal="left"/>
    </xf>
    <xf numFmtId="3" fontId="31" fillId="0" borderId="11" xfId="0" applyNumberFormat="1" applyFont="1" applyBorder="1" applyAlignment="1">
      <alignment/>
    </xf>
    <xf numFmtId="3" fontId="31" fillId="0" borderId="11" xfId="0" applyNumberFormat="1" applyFont="1" applyFill="1" applyBorder="1" applyAlignment="1">
      <alignment horizontal="right" wrapText="1"/>
    </xf>
    <xf numFmtId="4" fontId="4" fillId="0" borderId="10" xfId="0" applyNumberFormat="1" applyFont="1" applyBorder="1" applyAlignment="1">
      <alignment/>
    </xf>
    <xf numFmtId="4" fontId="13" fillId="0" borderId="10" xfId="0" applyNumberFormat="1" applyFont="1" applyBorder="1" applyAlignment="1">
      <alignment/>
    </xf>
    <xf numFmtId="4" fontId="12" fillId="0" borderId="10" xfId="0" applyNumberFormat="1" applyFont="1" applyBorder="1" applyAlignment="1">
      <alignment/>
    </xf>
    <xf numFmtId="0" fontId="32" fillId="0" borderId="10" xfId="0" applyFont="1" applyFill="1" applyBorder="1" applyAlignment="1">
      <alignment horizontal="left" wrapText="1"/>
    </xf>
    <xf numFmtId="3" fontId="5" fillId="0" borderId="0" xfId="0" applyNumberFormat="1" applyFont="1" applyBorder="1" applyAlignment="1">
      <alignment horizontal="center"/>
    </xf>
    <xf numFmtId="166" fontId="7" fillId="0" borderId="10" xfId="59" applyNumberFormat="1" applyFont="1" applyBorder="1" applyAlignment="1">
      <alignment/>
    </xf>
    <xf numFmtId="166" fontId="7" fillId="0" borderId="12" xfId="59" applyNumberFormat="1" applyFont="1" applyBorder="1" applyAlignment="1">
      <alignment/>
    </xf>
    <xf numFmtId="3" fontId="2" fillId="0" borderId="10" xfId="0" applyNumberFormat="1" applyFont="1" applyBorder="1" applyAlignment="1">
      <alignment horizontal="center" wrapText="1"/>
    </xf>
    <xf numFmtId="3" fontId="5" fillId="0" borderId="10" xfId="0" applyNumberFormat="1" applyFont="1" applyBorder="1" applyAlignment="1">
      <alignment/>
    </xf>
    <xf numFmtId="4" fontId="3" fillId="0" borderId="10" xfId="0" applyNumberFormat="1" applyFont="1" applyBorder="1" applyAlignment="1">
      <alignment horizontal="center" wrapText="1"/>
    </xf>
    <xf numFmtId="4" fontId="3" fillId="0" borderId="0" xfId="0" applyNumberFormat="1" applyFont="1" applyAlignment="1">
      <alignment/>
    </xf>
    <xf numFmtId="4" fontId="5" fillId="0" borderId="0" xfId="0" applyNumberFormat="1" applyFont="1" applyBorder="1" applyAlignment="1">
      <alignment horizontal="center"/>
    </xf>
    <xf numFmtId="4" fontId="31" fillId="0" borderId="10" xfId="0" applyNumberFormat="1" applyFont="1" applyBorder="1" applyAlignment="1">
      <alignment/>
    </xf>
    <xf numFmtId="4" fontId="5" fillId="0" borderId="0" xfId="0" applyNumberFormat="1" applyFont="1" applyBorder="1" applyAlignment="1">
      <alignment horizontal="center" wrapText="1"/>
    </xf>
    <xf numFmtId="4" fontId="7" fillId="0" borderId="0" xfId="59" applyNumberFormat="1" applyFont="1" applyBorder="1" applyAlignment="1">
      <alignment/>
    </xf>
    <xf numFmtId="4" fontId="10" fillId="0" borderId="15" xfId="0" applyNumberFormat="1" applyFont="1" applyBorder="1" applyAlignment="1">
      <alignment/>
    </xf>
    <xf numFmtId="1" fontId="32" fillId="0" borderId="10" xfId="0" applyNumberFormat="1" applyFont="1" applyBorder="1" applyAlignment="1">
      <alignment horizontal="left"/>
    </xf>
    <xf numFmtId="3" fontId="2" fillId="0" borderId="14" xfId="0" applyNumberFormat="1" applyFont="1" applyBorder="1" applyAlignment="1">
      <alignment horizontal="center"/>
    </xf>
    <xf numFmtId="3" fontId="5" fillId="0" borderId="0" xfId="0" applyNumberFormat="1" applyFont="1" applyBorder="1" applyAlignment="1">
      <alignment horizontal="center" wrapText="1"/>
    </xf>
    <xf numFmtId="0" fontId="35" fillId="0" borderId="0" xfId="0" applyFont="1" applyAlignment="1">
      <alignment horizontal="center"/>
    </xf>
    <xf numFmtId="0" fontId="33" fillId="0" borderId="0" xfId="0" applyFont="1" applyAlignment="1">
      <alignment/>
    </xf>
    <xf numFmtId="0" fontId="37" fillId="0" borderId="10" xfId="0" applyFont="1" applyBorder="1" applyAlignment="1">
      <alignment vertical="center" wrapText="1"/>
    </xf>
    <xf numFmtId="4" fontId="39" fillId="0" borderId="10" xfId="0" applyNumberFormat="1" applyFont="1" applyBorder="1" applyAlignment="1">
      <alignment/>
    </xf>
    <xf numFmtId="0" fontId="5" fillId="0" borderId="0" xfId="0" applyFont="1" applyBorder="1" applyAlignment="1">
      <alignment/>
    </xf>
    <xf numFmtId="4" fontId="4" fillId="0" borderId="10" xfId="0" applyNumberFormat="1" applyFont="1" applyFill="1" applyBorder="1" applyAlignment="1">
      <alignment/>
    </xf>
    <xf numFmtId="4" fontId="30" fillId="0" borderId="10" xfId="0" applyNumberFormat="1" applyFont="1" applyFill="1" applyBorder="1" applyAlignment="1">
      <alignment/>
    </xf>
    <xf numFmtId="4" fontId="38" fillId="0" borderId="10" xfId="0" applyNumberFormat="1" applyFont="1" applyFill="1" applyBorder="1" applyAlignment="1">
      <alignment/>
    </xf>
    <xf numFmtId="4" fontId="5" fillId="0" borderId="0" xfId="0" applyNumberFormat="1" applyFont="1" applyFill="1" applyBorder="1" applyAlignment="1">
      <alignment/>
    </xf>
    <xf numFmtId="4" fontId="10" fillId="0" borderId="0" xfId="0" applyNumberFormat="1" applyFont="1" applyFill="1" applyBorder="1" applyAlignment="1">
      <alignment/>
    </xf>
    <xf numFmtId="3" fontId="30" fillId="0" borderId="10" xfId="0" applyNumberFormat="1" applyFont="1" applyBorder="1" applyAlignment="1">
      <alignment/>
    </xf>
    <xf numFmtId="3" fontId="40" fillId="0" borderId="10" xfId="0" applyNumberFormat="1" applyFont="1" applyBorder="1" applyAlignment="1">
      <alignment/>
    </xf>
    <xf numFmtId="3" fontId="40" fillId="0" borderId="10" xfId="0" applyNumberFormat="1" applyFont="1" applyFill="1" applyBorder="1" applyAlignment="1">
      <alignment horizontal="right" wrapText="1"/>
    </xf>
    <xf numFmtId="3" fontId="40" fillId="0" borderId="11" xfId="0" applyNumberFormat="1" applyFont="1" applyFill="1" applyBorder="1" applyAlignment="1">
      <alignment horizontal="right" wrapText="1"/>
    </xf>
    <xf numFmtId="3" fontId="4" fillId="0" borderId="10" xfId="0" applyNumberFormat="1" applyFont="1" applyBorder="1" applyAlignment="1">
      <alignment/>
    </xf>
    <xf numFmtId="0" fontId="2" fillId="0" borderId="0" xfId="0" applyFont="1" applyBorder="1" applyAlignment="1">
      <alignment horizontal="center" vertical="center" wrapText="1"/>
    </xf>
    <xf numFmtId="0" fontId="3" fillId="0" borderId="10" xfId="0" applyFont="1" applyBorder="1" applyAlignment="1">
      <alignment horizontal="center" wrapText="1"/>
    </xf>
    <xf numFmtId="3" fontId="3" fillId="0" borderId="13" xfId="0" applyNumberFormat="1" applyFont="1" applyBorder="1" applyAlignment="1">
      <alignment horizontal="center"/>
    </xf>
    <xf numFmtId="0" fontId="36" fillId="0" borderId="0" xfId="0" applyFont="1" applyAlignment="1">
      <alignment horizontal="center"/>
    </xf>
    <xf numFmtId="0" fontId="34" fillId="0" borderId="0" xfId="0" applyFont="1" applyAlignment="1">
      <alignment horizontal="center" vertical="top" wrapText="1"/>
    </xf>
    <xf numFmtId="0" fontId="35" fillId="0" borderId="0" xfId="0" applyFont="1" applyAlignment="1">
      <alignment horizontal="center"/>
    </xf>
    <xf numFmtId="3" fontId="3" fillId="0" borderId="10" xfId="0" applyNumberFormat="1" applyFont="1" applyBorder="1" applyAlignment="1">
      <alignment horizontal="center"/>
    </xf>
    <xf numFmtId="4" fontId="3" fillId="0" borderId="10" xfId="0" applyNumberFormat="1" applyFont="1" applyBorder="1" applyAlignment="1">
      <alignment horizontal="center"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ОДДС 2010" xfId="54"/>
    <cellStyle name="Followed Hyperlink" xfId="55"/>
    <cellStyle name="Плохой" xfId="56"/>
    <cellStyle name="Пояснение" xfId="57"/>
    <cellStyle name="Примечание" xfId="58"/>
    <cellStyle name="Percent" xfId="59"/>
    <cellStyle name="Процентный 2" xfId="60"/>
    <cellStyle name="Процентный 3"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808000"/>
      <rgbColor rgb="00000080"/>
      <rgbColor rgb="00800080"/>
      <rgbColor rgb="00008080"/>
      <rgbColor rgb="00808080"/>
      <rgbColor rgb="00C0C0C0"/>
      <rgbColor rgb="008080FF"/>
      <rgbColor rgb="00802060"/>
      <rgbColor rgb="00FFFFC0"/>
      <rgbColor rgb="00A0E0E0"/>
      <rgbColor rgb="00600080"/>
      <rgbColor rgb="00FF8080"/>
      <rgbColor rgb="000080C0"/>
      <rgbColor rgb="00C0C0FF"/>
      <rgbColor rgb="0000CFFF"/>
      <rgbColor rgb="0069FFFF"/>
      <rgbColor rgb="00E0FFE0"/>
      <rgbColor rgb="00DD9CB3"/>
      <rgbColor rgb="00B38FEE"/>
      <rgbColor rgb="002A6FF9"/>
      <rgbColor rgb="003FB8CD"/>
      <rgbColor rgb="00488436"/>
      <rgbColor rgb="00958C41"/>
      <rgbColor rgb="008E5E42"/>
      <rgbColor rgb="00A0627A"/>
      <rgbColor rgb="00624FAC"/>
      <rgbColor rgb="001D2FBE"/>
      <rgbColor rgb="00286676"/>
      <rgbColor rgb="00004500"/>
      <rgbColor rgb="00453E01"/>
      <rgbColor rgb="006A2813"/>
      <rgbColor rgb="0085396A"/>
      <rgbColor rgb="004A3285"/>
      <rgbColor rgb="00C0DCC0"/>
      <rgbColor rgb="00A6CAF0"/>
      <rgbColor rgb="00800000"/>
      <rgbColor rgb="00008000"/>
      <rgbColor rgb="00000080"/>
      <rgbColor rgb="00808000"/>
      <rgbColor rgb="00800080"/>
      <rgbColor rgb="00008080"/>
      <rgbColor rgb="00808080"/>
      <rgbColor rgb="00FFFBF0"/>
      <rgbColor rgb="00A0A0A4"/>
      <rgbColor rgb="00313900"/>
      <rgbColor rgb="00D9853E"/>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8;&#1057;&#1046;%20&#1058;&#1072;&#1090;&#1080;&#1097;&#1077;&#1074;&#1072;,92\&#1069;&#1082;&#1089;&#1087;&#1083;&#1091;&#1072;&#1090;&#1072;&#1094;&#1080;&#1103;\Smeta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мета 2012"/>
      <sheetName val="штатное "/>
      <sheetName val="штатное  первонач вариант"/>
    </sheetNames>
    <sheetDataSet>
      <sheetData sheetId="0">
        <row r="24">
          <cell r="C24">
            <v>78158.8699999986</v>
          </cell>
          <cell r="F24">
            <v>6170</v>
          </cell>
        </row>
        <row r="26">
          <cell r="C26">
            <v>3234874.0709401723</v>
          </cell>
          <cell r="E26">
            <v>17.84069088319089</v>
          </cell>
        </row>
        <row r="27">
          <cell r="C27">
            <v>397133.77905982925</v>
          </cell>
          <cell r="E27">
            <v>17.84069088319089</v>
          </cell>
        </row>
        <row r="28">
          <cell r="C28">
            <v>194839</v>
          </cell>
          <cell r="E28">
            <v>11.16683860614397</v>
          </cell>
        </row>
        <row r="29">
          <cell r="C29">
            <v>210000</v>
          </cell>
          <cell r="F29">
            <v>16577</v>
          </cell>
        </row>
        <row r="30">
          <cell r="E30">
            <v>4.727907776390322</v>
          </cell>
          <cell r="G30">
            <v>4.727907776390322</v>
          </cell>
        </row>
        <row r="31">
          <cell r="C31">
            <v>857264.2380150931</v>
          </cell>
        </row>
        <row r="32">
          <cell r="C32">
            <v>105243.22710244857</v>
          </cell>
        </row>
        <row r="33">
          <cell r="C33">
            <v>82492.53488245833</v>
          </cell>
        </row>
        <row r="34">
          <cell r="C34">
            <v>0</v>
          </cell>
        </row>
        <row r="38">
          <cell r="C38">
            <v>629708.72</v>
          </cell>
        </row>
        <row r="39">
          <cell r="C39">
            <v>25000</v>
          </cell>
          <cell r="F39">
            <v>1974</v>
          </cell>
        </row>
        <row r="40">
          <cell r="C40">
            <v>38100</v>
          </cell>
          <cell r="F40">
            <v>3008</v>
          </cell>
        </row>
        <row r="41">
          <cell r="C41">
            <v>500</v>
          </cell>
          <cell r="F41">
            <v>39</v>
          </cell>
        </row>
        <row r="42">
          <cell r="C42">
            <v>10000</v>
          </cell>
          <cell r="F42">
            <v>789</v>
          </cell>
        </row>
        <row r="43">
          <cell r="C43">
            <v>10000</v>
          </cell>
          <cell r="F43">
            <v>789</v>
          </cell>
        </row>
        <row r="44">
          <cell r="C44">
            <v>125000.40000000001</v>
          </cell>
          <cell r="F44">
            <v>9868</v>
          </cell>
        </row>
        <row r="45">
          <cell r="C45">
            <v>349708.32</v>
          </cell>
          <cell r="F45">
            <v>27606</v>
          </cell>
        </row>
        <row r="46">
          <cell r="C46">
            <v>9000</v>
          </cell>
          <cell r="F46">
            <v>710</v>
          </cell>
        </row>
        <row r="47">
          <cell r="C47">
            <v>13200</v>
          </cell>
          <cell r="F47">
            <v>1042</v>
          </cell>
        </row>
        <row r="48">
          <cell r="C48">
            <v>9000</v>
          </cell>
          <cell r="F48">
            <v>710</v>
          </cell>
        </row>
        <row r="49">
          <cell r="C49">
            <v>33000</v>
          </cell>
          <cell r="F49">
            <v>2605</v>
          </cell>
        </row>
        <row r="50">
          <cell r="C50">
            <v>7200</v>
          </cell>
          <cell r="F50">
            <v>568</v>
          </cell>
        </row>
        <row r="52">
          <cell r="C52">
            <v>887588</v>
          </cell>
          <cell r="F52">
            <v>70066</v>
          </cell>
        </row>
        <row r="53">
          <cell r="C53">
            <v>60024</v>
          </cell>
          <cell r="F53">
            <v>4738</v>
          </cell>
        </row>
        <row r="54">
          <cell r="C54">
            <v>6000</v>
          </cell>
          <cell r="F54">
            <v>474</v>
          </cell>
        </row>
        <row r="55">
          <cell r="C55">
            <v>5000</v>
          </cell>
          <cell r="F55">
            <v>395</v>
          </cell>
        </row>
        <row r="56">
          <cell r="C56">
            <v>15000</v>
          </cell>
          <cell r="F56">
            <v>1184</v>
          </cell>
        </row>
        <row r="57">
          <cell r="C57">
            <v>30000</v>
          </cell>
          <cell r="F57">
            <v>2368</v>
          </cell>
        </row>
        <row r="58">
          <cell r="C58">
            <v>136992</v>
          </cell>
          <cell r="F58">
            <v>10814</v>
          </cell>
        </row>
        <row r="59">
          <cell r="C59">
            <v>10000</v>
          </cell>
          <cell r="F59">
            <v>10000</v>
          </cell>
        </row>
        <row r="60">
          <cell r="C60">
            <v>28176</v>
          </cell>
        </row>
        <row r="61">
          <cell r="F61">
            <v>0</v>
          </cell>
        </row>
        <row r="62">
          <cell r="C62">
            <v>34560</v>
          </cell>
          <cell r="F62">
            <v>34560</v>
          </cell>
        </row>
        <row r="63">
          <cell r="C63">
            <v>14200</v>
          </cell>
          <cell r="F63">
            <v>14200</v>
          </cell>
        </row>
        <row r="64">
          <cell r="C64">
            <v>40000</v>
          </cell>
          <cell r="F64">
            <v>3158</v>
          </cell>
        </row>
        <row r="65">
          <cell r="C65">
            <v>75000</v>
          </cell>
          <cell r="F65">
            <v>5921</v>
          </cell>
        </row>
        <row r="66">
          <cell r="C66">
            <v>10000</v>
          </cell>
          <cell r="F66">
            <v>10000</v>
          </cell>
        </row>
        <row r="71">
          <cell r="C71">
            <v>445551.60000000003</v>
          </cell>
        </row>
        <row r="72">
          <cell r="C72">
            <v>150000</v>
          </cell>
        </row>
        <row r="73">
          <cell r="C73">
            <v>80000</v>
          </cell>
        </row>
        <row r="74">
          <cell r="C74">
            <v>50000</v>
          </cell>
        </row>
        <row r="75">
          <cell r="C75">
            <v>310500</v>
          </cell>
        </row>
        <row r="76">
          <cell r="C76">
            <v>354538.08</v>
          </cell>
        </row>
        <row r="77">
          <cell r="C77">
            <v>18480</v>
          </cell>
        </row>
        <row r="78">
          <cell r="C78">
            <v>50000</v>
          </cell>
        </row>
        <row r="79">
          <cell r="C79">
            <v>8720</v>
          </cell>
        </row>
        <row r="80">
          <cell r="C80">
            <v>170463.72</v>
          </cell>
        </row>
        <row r="81">
          <cell r="C81">
            <v>68040</v>
          </cell>
        </row>
        <row r="82">
          <cell r="C82">
            <v>5000</v>
          </cell>
        </row>
        <row r="83">
          <cell r="C83">
            <v>35409.840000000004</v>
          </cell>
        </row>
        <row r="85">
          <cell r="C85">
            <v>10000</v>
          </cell>
        </row>
        <row r="86">
          <cell r="C86">
            <v>80000</v>
          </cell>
        </row>
        <row r="87">
          <cell r="C87">
            <v>10000</v>
          </cell>
        </row>
        <row r="88">
          <cell r="C88">
            <v>68000</v>
          </cell>
        </row>
        <row r="89">
          <cell r="B89" t="str">
            <v>замена эл/магн пускателей 6 шт. в электрощитовых (устранение шума и гула)</v>
          </cell>
          <cell r="C89">
            <v>11000</v>
          </cell>
        </row>
        <row r="90">
          <cell r="B90" t="str">
            <v>устранение поломок (двери, окна, доводчики, ручки, светильники и т.д.)</v>
          </cell>
          <cell r="C90">
            <v>9000</v>
          </cell>
        </row>
        <row r="91">
          <cell r="B91" t="str">
            <v>ремонт элементов автоматики насосных станций и ИТП </v>
          </cell>
          <cell r="C91">
            <v>15000</v>
          </cell>
        </row>
        <row r="92">
          <cell r="B92" t="str">
            <v>установка металлической двери на пожарную лестницу 2-го подъезда</v>
          </cell>
          <cell r="C92">
            <v>14000</v>
          </cell>
        </row>
        <row r="96">
          <cell r="B96" t="str">
            <v>реконструкция подвала под помещение ТСЖ (офис, архив, склад)</v>
          </cell>
          <cell r="C96">
            <v>800000</v>
          </cell>
        </row>
        <row r="97">
          <cell r="B97" t="str">
            <v>установка малых форм для детей до 5 лет (вместо сушилки)</v>
          </cell>
          <cell r="C97">
            <v>50000</v>
          </cell>
        </row>
        <row r="98">
          <cell r="B98" t="str">
            <v>устройство контейнерной площадки</v>
          </cell>
          <cell r="C98">
            <v>45000</v>
          </cell>
        </row>
        <row r="99">
          <cell r="B99" t="str">
            <v>устройство санузла в помещении охраны гаража</v>
          </cell>
          <cell r="C99">
            <v>45000</v>
          </cell>
        </row>
        <row r="100">
          <cell r="B100" t="str">
            <v>реконструкция привода гаражных ворот</v>
          </cell>
          <cell r="C100">
            <v>45000</v>
          </cell>
        </row>
        <row r="101">
          <cell r="B101" t="str">
            <v>изготовление навеса над въездом в гараж</v>
          </cell>
          <cell r="C101">
            <v>30000</v>
          </cell>
        </row>
        <row r="102">
          <cell r="B102" t="str">
            <v>установка  2 шт. фонарей уличного освещения на детской площадке с фотодатчиком включения</v>
          </cell>
          <cell r="C102">
            <v>15000</v>
          </cell>
        </row>
        <row r="103">
          <cell r="B103" t="str">
            <v>установка системы фотодатчиков включения освещения гаража</v>
          </cell>
          <cell r="C103">
            <v>15000</v>
          </cell>
        </row>
        <row r="105">
          <cell r="C105">
            <v>50000</v>
          </cell>
        </row>
        <row r="106">
          <cell r="C106">
            <v>168053.76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T421"/>
  <sheetViews>
    <sheetView zoomScale="85" zoomScaleNormal="85" zoomScalePageLayoutView="0" workbookViewId="0" topLeftCell="A236">
      <selection activeCell="C248" sqref="C248:O248"/>
    </sheetView>
  </sheetViews>
  <sheetFormatPr defaultColWidth="9.140625" defaultRowHeight="15"/>
  <cols>
    <col min="1" max="1" width="4.8515625" style="31" customWidth="1"/>
    <col min="2" max="2" width="37.8515625" style="31" customWidth="1"/>
    <col min="3" max="3" width="14.8515625" style="31" customWidth="1"/>
    <col min="4" max="4" width="12.57421875" style="31" customWidth="1"/>
    <col min="5" max="5" width="11.57421875" style="31" customWidth="1"/>
    <col min="6" max="6" width="11.421875" style="31" customWidth="1"/>
    <col min="7" max="7" width="12.57421875" style="31" customWidth="1"/>
    <col min="8" max="9" width="11.57421875" style="31" customWidth="1"/>
    <col min="10" max="10" width="12.00390625" style="31" customWidth="1"/>
    <col min="11" max="12" width="11.57421875" style="31" customWidth="1"/>
    <col min="13" max="13" width="12.00390625" style="31" bestFit="1" customWidth="1"/>
    <col min="14" max="14" width="11.57421875" style="31" bestFit="1" customWidth="1"/>
    <col min="15" max="15" width="11.8515625" style="31" bestFit="1" customWidth="1"/>
    <col min="16" max="16" width="13.28125" style="31" bestFit="1" customWidth="1"/>
    <col min="17" max="17" width="10.28125" style="31" bestFit="1" customWidth="1"/>
    <col min="18" max="18" width="9.28125" style="31" bestFit="1" customWidth="1"/>
    <col min="19" max="19" width="9.140625" style="31" customWidth="1"/>
    <col min="20" max="20" width="9.28125" style="31" bestFit="1" customWidth="1"/>
    <col min="21" max="16384" width="9.140625" style="31" customWidth="1"/>
  </cols>
  <sheetData>
    <row r="1" ht="12.75">
      <c r="B1" s="25" t="s">
        <v>24</v>
      </c>
    </row>
    <row r="2" spans="1:15" ht="25.5">
      <c r="A2" s="32" t="s">
        <v>0</v>
      </c>
      <c r="B2" s="32" t="s">
        <v>56</v>
      </c>
      <c r="C2" s="28" t="s">
        <v>1</v>
      </c>
      <c r="D2" s="28" t="s">
        <v>2</v>
      </c>
      <c r="E2" s="28" t="s">
        <v>3</v>
      </c>
      <c r="F2" s="28" t="s">
        <v>4</v>
      </c>
      <c r="G2" s="28" t="s">
        <v>5</v>
      </c>
      <c r="H2" s="28" t="s">
        <v>6</v>
      </c>
      <c r="I2" s="28" t="s">
        <v>7</v>
      </c>
      <c r="J2" s="28" t="s">
        <v>8</v>
      </c>
      <c r="K2" s="28" t="s">
        <v>9</v>
      </c>
      <c r="L2" s="28" t="s">
        <v>10</v>
      </c>
      <c r="M2" s="28" t="s">
        <v>11</v>
      </c>
      <c r="N2" s="28" t="s">
        <v>12</v>
      </c>
      <c r="O2" s="28" t="s">
        <v>13</v>
      </c>
    </row>
    <row r="3" spans="1:15" s="25" customFormat="1" ht="27" customHeight="1">
      <c r="A3" s="28">
        <v>1</v>
      </c>
      <c r="B3" s="33" t="s">
        <v>49</v>
      </c>
      <c r="C3" s="34">
        <f aca="true" t="shared" si="0" ref="C3:C31">SUM(D3:O3)</f>
        <v>3602782.559999999</v>
      </c>
      <c r="D3" s="30">
        <f>SUM(D4:D6)</f>
        <v>300231.88</v>
      </c>
      <c r="E3" s="30">
        <f aca="true" t="shared" si="1" ref="E3:O3">SUM(E4:E6)</f>
        <v>300231.88</v>
      </c>
      <c r="F3" s="30">
        <f t="shared" si="1"/>
        <v>300231.88</v>
      </c>
      <c r="G3" s="30">
        <f t="shared" si="1"/>
        <v>300231.88</v>
      </c>
      <c r="H3" s="30">
        <f t="shared" si="1"/>
        <v>300231.88</v>
      </c>
      <c r="I3" s="30">
        <f t="shared" si="1"/>
        <v>300231.88</v>
      </c>
      <c r="J3" s="30">
        <f t="shared" si="1"/>
        <v>300231.88</v>
      </c>
      <c r="K3" s="30">
        <f t="shared" si="1"/>
        <v>300231.88</v>
      </c>
      <c r="L3" s="30">
        <f t="shared" si="1"/>
        <v>300231.88</v>
      </c>
      <c r="M3" s="30">
        <f t="shared" si="1"/>
        <v>300231.88</v>
      </c>
      <c r="N3" s="30">
        <f t="shared" si="1"/>
        <v>300231.88</v>
      </c>
      <c r="O3" s="30">
        <f t="shared" si="1"/>
        <v>300231.88</v>
      </c>
    </row>
    <row r="4" spans="1:15" ht="12.75">
      <c r="A4" s="35"/>
      <c r="B4" s="36" t="s">
        <v>14</v>
      </c>
      <c r="C4" s="10">
        <f t="shared" si="0"/>
        <v>2956083.2399999998</v>
      </c>
      <c r="D4" s="10">
        <v>246340.27</v>
      </c>
      <c r="E4" s="10">
        <v>246340.27</v>
      </c>
      <c r="F4" s="10">
        <v>246340.27</v>
      </c>
      <c r="G4" s="10">
        <v>246340.27</v>
      </c>
      <c r="H4" s="10">
        <v>246340.27</v>
      </c>
      <c r="I4" s="10">
        <v>246340.27</v>
      </c>
      <c r="J4" s="10">
        <v>246340.27</v>
      </c>
      <c r="K4" s="10">
        <v>246340.27</v>
      </c>
      <c r="L4" s="10">
        <v>246340.27</v>
      </c>
      <c r="M4" s="10">
        <v>246340.27</v>
      </c>
      <c r="N4" s="10">
        <v>246340.27</v>
      </c>
      <c r="O4" s="10">
        <v>246340.27</v>
      </c>
    </row>
    <row r="5" spans="1:15" ht="12.75">
      <c r="A5" s="35"/>
      <c r="B5" s="36" t="s">
        <v>15</v>
      </c>
      <c r="C5" s="10">
        <f t="shared" si="0"/>
        <v>362955.3600000001</v>
      </c>
      <c r="D5" s="10">
        <v>30246.28</v>
      </c>
      <c r="E5" s="10">
        <v>30246.28</v>
      </c>
      <c r="F5" s="10">
        <v>30246.28</v>
      </c>
      <c r="G5" s="10">
        <v>30246.28</v>
      </c>
      <c r="H5" s="10">
        <v>30246.28</v>
      </c>
      <c r="I5" s="10">
        <v>30246.28</v>
      </c>
      <c r="J5" s="10">
        <v>30246.28</v>
      </c>
      <c r="K5" s="10">
        <v>30246.28</v>
      </c>
      <c r="L5" s="10">
        <v>30246.28</v>
      </c>
      <c r="M5" s="10">
        <v>30246.28</v>
      </c>
      <c r="N5" s="10">
        <v>30246.28</v>
      </c>
      <c r="O5" s="10">
        <v>30246.28</v>
      </c>
    </row>
    <row r="6" spans="1:15" ht="12.75">
      <c r="A6" s="37"/>
      <c r="B6" s="38" t="s">
        <v>16</v>
      </c>
      <c r="C6" s="10">
        <f t="shared" si="0"/>
        <v>283743.9600000001</v>
      </c>
      <c r="D6" s="10">
        <v>23645.33</v>
      </c>
      <c r="E6" s="10">
        <v>23645.33</v>
      </c>
      <c r="F6" s="10">
        <v>23645.33</v>
      </c>
      <c r="G6" s="10">
        <v>23645.33</v>
      </c>
      <c r="H6" s="10">
        <v>23645.33</v>
      </c>
      <c r="I6" s="10">
        <v>23645.33</v>
      </c>
      <c r="J6" s="10">
        <v>23645.33</v>
      </c>
      <c r="K6" s="10">
        <v>23645.33</v>
      </c>
      <c r="L6" s="10">
        <v>23645.33</v>
      </c>
      <c r="M6" s="10">
        <v>23645.33</v>
      </c>
      <c r="N6" s="10">
        <v>23645.33</v>
      </c>
      <c r="O6" s="10">
        <v>23645.33</v>
      </c>
    </row>
    <row r="7" spans="1:15" s="25" customFormat="1" ht="12.75">
      <c r="A7" s="28">
        <v>2</v>
      </c>
      <c r="B7" s="39" t="s">
        <v>50</v>
      </c>
      <c r="C7" s="34">
        <f t="shared" si="0"/>
        <v>552681</v>
      </c>
      <c r="D7" s="30">
        <f aca="true" t="shared" si="2" ref="D7:O7">SUM(D8:D10)</f>
        <v>46056.75</v>
      </c>
      <c r="E7" s="30">
        <f t="shared" si="2"/>
        <v>46056.75</v>
      </c>
      <c r="F7" s="30">
        <f t="shared" si="2"/>
        <v>46056.75</v>
      </c>
      <c r="G7" s="30">
        <f t="shared" si="2"/>
        <v>46056.75</v>
      </c>
      <c r="H7" s="30">
        <f t="shared" si="2"/>
        <v>46056.75</v>
      </c>
      <c r="I7" s="30">
        <f t="shared" si="2"/>
        <v>46056.75</v>
      </c>
      <c r="J7" s="30">
        <f t="shared" si="2"/>
        <v>46056.75</v>
      </c>
      <c r="K7" s="30">
        <f t="shared" si="2"/>
        <v>46056.75</v>
      </c>
      <c r="L7" s="30">
        <f t="shared" si="2"/>
        <v>46056.75</v>
      </c>
      <c r="M7" s="30">
        <f t="shared" si="2"/>
        <v>46056.75</v>
      </c>
      <c r="N7" s="30">
        <f t="shared" si="2"/>
        <v>46056.75</v>
      </c>
      <c r="O7" s="30">
        <f t="shared" si="2"/>
        <v>46056.75</v>
      </c>
    </row>
    <row r="8" spans="1:15" ht="12.75">
      <c r="A8" s="35"/>
      <c r="B8" s="36" t="s">
        <v>14</v>
      </c>
      <c r="C8" s="10">
        <f t="shared" si="0"/>
        <v>453387</v>
      </c>
      <c r="D8" s="10">
        <v>37782.25</v>
      </c>
      <c r="E8" s="10">
        <v>37782.25</v>
      </c>
      <c r="F8" s="10">
        <v>37782.25</v>
      </c>
      <c r="G8" s="10">
        <v>37782.25</v>
      </c>
      <c r="H8" s="10">
        <v>37782.25</v>
      </c>
      <c r="I8" s="10">
        <v>37782.25</v>
      </c>
      <c r="J8" s="10">
        <v>37782.25</v>
      </c>
      <c r="K8" s="10">
        <v>37782.25</v>
      </c>
      <c r="L8" s="10">
        <v>37782.25</v>
      </c>
      <c r="M8" s="10">
        <v>37782.25</v>
      </c>
      <c r="N8" s="10">
        <v>37782.25</v>
      </c>
      <c r="O8" s="10">
        <v>37782.25</v>
      </c>
    </row>
    <row r="9" spans="1:15" ht="12.75">
      <c r="A9" s="35"/>
      <c r="B9" s="36" t="s">
        <v>15</v>
      </c>
      <c r="C9" s="10">
        <f t="shared" si="0"/>
        <v>55668</v>
      </c>
      <c r="D9" s="10">
        <v>4639</v>
      </c>
      <c r="E9" s="10">
        <v>4639</v>
      </c>
      <c r="F9" s="10">
        <v>4639</v>
      </c>
      <c r="G9" s="10">
        <v>4639</v>
      </c>
      <c r="H9" s="10">
        <v>4639</v>
      </c>
      <c r="I9" s="10">
        <v>4639</v>
      </c>
      <c r="J9" s="10">
        <v>4639</v>
      </c>
      <c r="K9" s="10">
        <v>4639</v>
      </c>
      <c r="L9" s="10">
        <v>4639</v>
      </c>
      <c r="M9" s="10">
        <v>4639</v>
      </c>
      <c r="N9" s="10">
        <v>4639</v>
      </c>
      <c r="O9" s="10">
        <v>4639</v>
      </c>
    </row>
    <row r="10" spans="1:15" ht="12.75">
      <c r="A10" s="37"/>
      <c r="B10" s="38" t="s">
        <v>16</v>
      </c>
      <c r="C10" s="10">
        <f t="shared" si="0"/>
        <v>43626</v>
      </c>
      <c r="D10" s="10">
        <v>3635.5</v>
      </c>
      <c r="E10" s="10">
        <v>3635.5</v>
      </c>
      <c r="F10" s="10">
        <v>3635.5</v>
      </c>
      <c r="G10" s="10">
        <v>3635.5</v>
      </c>
      <c r="H10" s="10">
        <v>3635.5</v>
      </c>
      <c r="I10" s="10">
        <v>3635.5</v>
      </c>
      <c r="J10" s="10">
        <v>3635.5</v>
      </c>
      <c r="K10" s="10">
        <v>3635.5</v>
      </c>
      <c r="L10" s="10">
        <v>3635.5</v>
      </c>
      <c r="M10" s="10">
        <v>3635.5</v>
      </c>
      <c r="N10" s="10">
        <v>3635.5</v>
      </c>
      <c r="O10" s="10">
        <v>3635.5</v>
      </c>
    </row>
    <row r="11" spans="1:15" s="25" customFormat="1" ht="12.75">
      <c r="A11" s="28">
        <v>3</v>
      </c>
      <c r="B11" s="39" t="s">
        <v>17</v>
      </c>
      <c r="C11" s="30">
        <f t="shared" si="0"/>
        <v>1101541.18</v>
      </c>
      <c r="D11" s="30">
        <f aca="true" t="shared" si="3" ref="D11:O11">SUM(D12:D14)</f>
        <v>258731.64999999997</v>
      </c>
      <c r="E11" s="30">
        <f t="shared" si="3"/>
        <v>224149.47000000003</v>
      </c>
      <c r="F11" s="30">
        <f t="shared" si="3"/>
        <v>156584.27000000002</v>
      </c>
      <c r="G11" s="30">
        <f t="shared" si="3"/>
        <v>111114.64</v>
      </c>
      <c r="H11" s="30">
        <f t="shared" si="3"/>
        <v>21466.88</v>
      </c>
      <c r="I11" s="30">
        <f t="shared" si="3"/>
        <v>-1651</v>
      </c>
      <c r="J11" s="30">
        <f t="shared" si="3"/>
        <v>0</v>
      </c>
      <c r="K11" s="30">
        <f t="shared" si="3"/>
        <v>0</v>
      </c>
      <c r="L11" s="30">
        <f t="shared" si="3"/>
        <v>0</v>
      </c>
      <c r="M11" s="30">
        <f t="shared" si="3"/>
        <v>45517.53999999999</v>
      </c>
      <c r="N11" s="30">
        <f t="shared" si="3"/>
        <v>148705.05</v>
      </c>
      <c r="O11" s="30">
        <f t="shared" si="3"/>
        <v>136922.68</v>
      </c>
    </row>
    <row r="12" spans="1:15" ht="12.75">
      <c r="A12" s="35"/>
      <c r="B12" s="36" t="s">
        <v>14</v>
      </c>
      <c r="C12" s="10">
        <f t="shared" si="0"/>
        <v>807120.9300000002</v>
      </c>
      <c r="D12" s="10">
        <v>183481.12</v>
      </c>
      <c r="E12" s="10">
        <v>152136.79</v>
      </c>
      <c r="F12" s="10">
        <v>105801.55</v>
      </c>
      <c r="G12" s="10">
        <v>81083.54</v>
      </c>
      <c r="H12" s="10">
        <v>19466.31</v>
      </c>
      <c r="I12" s="10">
        <v>-1651</v>
      </c>
      <c r="J12" s="10"/>
      <c r="K12" s="10"/>
      <c r="L12" s="10"/>
      <c r="M12" s="10">
        <v>36511.06</v>
      </c>
      <c r="N12" s="10">
        <v>109265.38</v>
      </c>
      <c r="O12" s="10">
        <v>121026.18</v>
      </c>
    </row>
    <row r="13" spans="1:15" ht="12.75">
      <c r="A13" s="35"/>
      <c r="B13" s="36" t="s">
        <v>15</v>
      </c>
      <c r="C13" s="10">
        <f t="shared" si="0"/>
        <v>175887.33000000002</v>
      </c>
      <c r="D13" s="10">
        <v>47449.92</v>
      </c>
      <c r="E13" s="10">
        <v>41302.55</v>
      </c>
      <c r="F13" s="10">
        <v>30362.03</v>
      </c>
      <c r="G13" s="10">
        <v>21788.94</v>
      </c>
      <c r="H13" s="10">
        <v>2000.57</v>
      </c>
      <c r="I13" s="10"/>
      <c r="J13" s="10"/>
      <c r="K13" s="10"/>
      <c r="L13" s="10"/>
      <c r="M13" s="10">
        <v>9006.48</v>
      </c>
      <c r="N13" s="10">
        <v>23976.84</v>
      </c>
      <c r="O13" s="10"/>
    </row>
    <row r="14" spans="1:15" ht="12.75">
      <c r="A14" s="35"/>
      <c r="B14" s="36" t="s">
        <v>16</v>
      </c>
      <c r="C14" s="10">
        <f t="shared" si="0"/>
        <v>118532.92000000001</v>
      </c>
      <c r="D14" s="10">
        <v>27800.61</v>
      </c>
      <c r="E14" s="10">
        <v>30710.13</v>
      </c>
      <c r="F14" s="10">
        <v>20420.69</v>
      </c>
      <c r="G14" s="10">
        <v>8242.16</v>
      </c>
      <c r="H14" s="10"/>
      <c r="I14" s="10"/>
      <c r="J14" s="10"/>
      <c r="K14" s="10"/>
      <c r="L14" s="10"/>
      <c r="M14" s="10"/>
      <c r="N14" s="10">
        <v>15462.83</v>
      </c>
      <c r="O14" s="10">
        <v>15896.5</v>
      </c>
    </row>
    <row r="15" spans="1:15" s="25" customFormat="1" ht="12.75">
      <c r="A15" s="28">
        <v>4</v>
      </c>
      <c r="B15" s="39" t="s">
        <v>18</v>
      </c>
      <c r="C15" s="30">
        <f t="shared" si="0"/>
        <v>401579.74000000005</v>
      </c>
      <c r="D15" s="30">
        <f>SUM(D16:D17)</f>
        <v>34279.770000000004</v>
      </c>
      <c r="E15" s="30">
        <f aca="true" t="shared" si="4" ref="E15:O15">SUM(E16:E17)</f>
        <v>33086.020000000004</v>
      </c>
      <c r="F15" s="30">
        <f t="shared" si="4"/>
        <v>33784.119999999995</v>
      </c>
      <c r="G15" s="30">
        <f t="shared" si="4"/>
        <v>34021.76</v>
      </c>
      <c r="H15" s="30">
        <f t="shared" si="4"/>
        <v>37247.399999999994</v>
      </c>
      <c r="I15" s="30">
        <f t="shared" si="4"/>
        <v>31540.66</v>
      </c>
      <c r="J15" s="30">
        <f t="shared" si="4"/>
        <v>35375.159999999996</v>
      </c>
      <c r="K15" s="30">
        <f t="shared" si="4"/>
        <v>35218.65</v>
      </c>
      <c r="L15" s="30">
        <f t="shared" si="4"/>
        <v>32430.23</v>
      </c>
      <c r="M15" s="30">
        <f t="shared" si="4"/>
        <v>33932.770000000004</v>
      </c>
      <c r="N15" s="30">
        <f t="shared" si="4"/>
        <v>34220.07</v>
      </c>
      <c r="O15" s="30">
        <f t="shared" si="4"/>
        <v>26443.13</v>
      </c>
    </row>
    <row r="16" spans="1:15" ht="12.75">
      <c r="A16" s="35"/>
      <c r="B16" s="36" t="s">
        <v>14</v>
      </c>
      <c r="C16" s="10">
        <f t="shared" si="0"/>
        <v>369494.6</v>
      </c>
      <c r="D16" s="10">
        <v>31486.29</v>
      </c>
      <c r="E16" s="10">
        <v>30271.77</v>
      </c>
      <c r="F16" s="10">
        <v>28984.05</v>
      </c>
      <c r="G16" s="10">
        <v>31182.96</v>
      </c>
      <c r="H16" s="10">
        <v>34913.88</v>
      </c>
      <c r="I16" s="10">
        <v>28941.09</v>
      </c>
      <c r="J16" s="10">
        <v>32039.55</v>
      </c>
      <c r="K16" s="10">
        <v>31898.82</v>
      </c>
      <c r="L16" s="10">
        <v>30199.27</v>
      </c>
      <c r="M16" s="10">
        <v>31416.38</v>
      </c>
      <c r="N16" s="10">
        <v>31717.41</v>
      </c>
      <c r="O16" s="10">
        <v>26443.13</v>
      </c>
    </row>
    <row r="17" spans="1:15" ht="12.75">
      <c r="A17" s="35"/>
      <c r="B17" s="36" t="s">
        <v>15</v>
      </c>
      <c r="C17" s="10">
        <f t="shared" si="0"/>
        <v>32085.139999999996</v>
      </c>
      <c r="D17" s="10">
        <v>2793.48</v>
      </c>
      <c r="E17" s="10">
        <v>2814.25</v>
      </c>
      <c r="F17" s="10">
        <v>4800.07</v>
      </c>
      <c r="G17" s="10">
        <v>2838.8</v>
      </c>
      <c r="H17" s="10">
        <v>2333.52</v>
      </c>
      <c r="I17" s="10">
        <v>2599.57</v>
      </c>
      <c r="J17" s="10">
        <v>3335.61</v>
      </c>
      <c r="K17" s="10">
        <v>3319.83</v>
      </c>
      <c r="L17" s="10">
        <v>2230.96</v>
      </c>
      <c r="M17" s="10">
        <v>2516.39</v>
      </c>
      <c r="N17" s="10">
        <v>2502.66</v>
      </c>
      <c r="O17" s="10"/>
    </row>
    <row r="18" spans="1:15" s="25" customFormat="1" ht="12.75">
      <c r="A18" s="28">
        <v>5</v>
      </c>
      <c r="B18" s="39" t="s">
        <v>19</v>
      </c>
      <c r="C18" s="30">
        <f t="shared" si="0"/>
        <v>295884.4</v>
      </c>
      <c r="D18" s="30">
        <f aca="true" t="shared" si="5" ref="D18:O18">SUM(D19:D20)</f>
        <v>34982.4</v>
      </c>
      <c r="E18" s="30">
        <f t="shared" si="5"/>
        <v>29299.85</v>
      </c>
      <c r="F18" s="30">
        <f t="shared" si="5"/>
        <v>24659.97</v>
      </c>
      <c r="G18" s="30">
        <f t="shared" si="5"/>
        <v>27284.02</v>
      </c>
      <c r="H18" s="30">
        <f t="shared" si="5"/>
        <v>27556.16</v>
      </c>
      <c r="I18" s="30">
        <f t="shared" si="5"/>
        <v>21931.93</v>
      </c>
      <c r="J18" s="30">
        <f t="shared" si="5"/>
        <v>12072.199999999999</v>
      </c>
      <c r="K18" s="30">
        <f t="shared" si="5"/>
        <v>19718.69</v>
      </c>
      <c r="L18" s="30">
        <f t="shared" si="5"/>
        <v>20811.22</v>
      </c>
      <c r="M18" s="30">
        <f t="shared" si="5"/>
        <v>26797.260000000002</v>
      </c>
      <c r="N18" s="30">
        <f t="shared" si="5"/>
        <v>28488.559999999998</v>
      </c>
      <c r="O18" s="30">
        <f t="shared" si="5"/>
        <v>22282.14</v>
      </c>
    </row>
    <row r="19" spans="1:15" ht="12.75">
      <c r="A19" s="35"/>
      <c r="B19" s="36" t="s">
        <v>14</v>
      </c>
      <c r="C19" s="10">
        <f t="shared" si="0"/>
        <v>277956.95999999996</v>
      </c>
      <c r="D19" s="10">
        <v>31655.3</v>
      </c>
      <c r="E19" s="10">
        <v>27740.21</v>
      </c>
      <c r="F19" s="10">
        <v>23252.38</v>
      </c>
      <c r="G19" s="10">
        <v>25551.72</v>
      </c>
      <c r="H19" s="10">
        <v>25850.48</v>
      </c>
      <c r="I19" s="10">
        <v>20677.88</v>
      </c>
      <c r="J19" s="10">
        <v>11502.39</v>
      </c>
      <c r="K19" s="10">
        <v>18816.02</v>
      </c>
      <c r="L19" s="10">
        <v>19262.4</v>
      </c>
      <c r="M19" s="10">
        <v>24862.56</v>
      </c>
      <c r="N19" s="10">
        <v>26503.48</v>
      </c>
      <c r="O19" s="10">
        <v>22282.14</v>
      </c>
    </row>
    <row r="20" spans="1:15" ht="12.75">
      <c r="A20" s="35"/>
      <c r="B20" s="36" t="s">
        <v>15</v>
      </c>
      <c r="C20" s="10">
        <f t="shared" si="0"/>
        <v>17927.44</v>
      </c>
      <c r="D20" s="10">
        <v>3327.1</v>
      </c>
      <c r="E20" s="10">
        <v>1559.64</v>
      </c>
      <c r="F20" s="10">
        <v>1407.59</v>
      </c>
      <c r="G20" s="10">
        <v>1732.3</v>
      </c>
      <c r="H20" s="10">
        <v>1705.68</v>
      </c>
      <c r="I20" s="10">
        <v>1254.05</v>
      </c>
      <c r="J20" s="10">
        <v>569.81</v>
      </c>
      <c r="K20" s="10">
        <v>902.67</v>
      </c>
      <c r="L20" s="10">
        <v>1548.82</v>
      </c>
      <c r="M20" s="10">
        <v>1934.7</v>
      </c>
      <c r="N20" s="10">
        <v>1985.08</v>
      </c>
      <c r="O20" s="10"/>
    </row>
    <row r="21" spans="1:15" s="25" customFormat="1" ht="12.75">
      <c r="A21" s="28">
        <v>6</v>
      </c>
      <c r="B21" s="39" t="s">
        <v>20</v>
      </c>
      <c r="C21" s="30">
        <f t="shared" si="0"/>
        <v>532632.1</v>
      </c>
      <c r="D21" s="30">
        <f aca="true" t="shared" si="6" ref="D21:O21">SUM(D22:D23)</f>
        <v>54834.49</v>
      </c>
      <c r="E21" s="30">
        <f t="shared" si="6"/>
        <v>53894.579999999994</v>
      </c>
      <c r="F21" s="30">
        <f t="shared" si="6"/>
        <v>46758.58</v>
      </c>
      <c r="G21" s="30">
        <f t="shared" si="6"/>
        <v>54402.59</v>
      </c>
      <c r="H21" s="30">
        <f t="shared" si="6"/>
        <v>66015.61</v>
      </c>
      <c r="I21" s="30">
        <f t="shared" si="6"/>
        <v>47969.37</v>
      </c>
      <c r="J21" s="30">
        <f t="shared" si="6"/>
        <v>13112.93</v>
      </c>
      <c r="K21" s="30">
        <f t="shared" si="6"/>
        <v>24057.18</v>
      </c>
      <c r="L21" s="30">
        <f t="shared" si="6"/>
        <v>25836.58</v>
      </c>
      <c r="M21" s="30">
        <f t="shared" si="6"/>
        <v>46533.92</v>
      </c>
      <c r="N21" s="30">
        <f t="shared" si="6"/>
        <v>51661.64</v>
      </c>
      <c r="O21" s="30">
        <f t="shared" si="6"/>
        <v>47554.63</v>
      </c>
    </row>
    <row r="22" spans="1:17" ht="12.75">
      <c r="A22" s="35"/>
      <c r="B22" s="36" t="s">
        <v>14</v>
      </c>
      <c r="C22" s="10">
        <f t="shared" si="0"/>
        <v>501779.6099999999</v>
      </c>
      <c r="D22" s="10">
        <v>53170.02</v>
      </c>
      <c r="E22" s="10">
        <v>50777.06</v>
      </c>
      <c r="F22" s="10">
        <v>43944.96</v>
      </c>
      <c r="G22" s="10">
        <v>50939.92</v>
      </c>
      <c r="H22" s="10">
        <v>62606.17</v>
      </c>
      <c r="I22" s="10">
        <v>45462.73</v>
      </c>
      <c r="J22" s="10">
        <v>11970.24</v>
      </c>
      <c r="K22" s="10">
        <v>22252.83</v>
      </c>
      <c r="L22" s="10">
        <v>22740.68</v>
      </c>
      <c r="M22" s="10">
        <v>42666.63</v>
      </c>
      <c r="N22" s="10">
        <v>47693.74</v>
      </c>
      <c r="O22" s="10">
        <v>47554.63</v>
      </c>
      <c r="Q22" s="9"/>
    </row>
    <row r="23" spans="1:15" ht="12.75">
      <c r="A23" s="35"/>
      <c r="B23" s="36" t="s">
        <v>15</v>
      </c>
      <c r="C23" s="10">
        <f t="shared" si="0"/>
        <v>30852.49</v>
      </c>
      <c r="D23" s="10">
        <v>1664.47</v>
      </c>
      <c r="E23" s="10">
        <v>3117.52</v>
      </c>
      <c r="F23" s="10">
        <v>2813.62</v>
      </c>
      <c r="G23" s="10">
        <v>3462.67</v>
      </c>
      <c r="H23" s="10">
        <v>3409.44</v>
      </c>
      <c r="I23" s="10">
        <v>2506.64</v>
      </c>
      <c r="J23" s="10">
        <v>1142.69</v>
      </c>
      <c r="K23" s="10">
        <v>1804.35</v>
      </c>
      <c r="L23" s="10">
        <v>3095.9</v>
      </c>
      <c r="M23" s="10">
        <v>3867.29</v>
      </c>
      <c r="N23" s="10">
        <v>3967.9</v>
      </c>
      <c r="O23" s="10"/>
    </row>
    <row r="24" spans="1:15" s="25" customFormat="1" ht="12.75">
      <c r="A24" s="28">
        <v>7</v>
      </c>
      <c r="B24" s="39" t="s">
        <v>21</v>
      </c>
      <c r="C24" s="30">
        <f t="shared" si="0"/>
        <v>360355.88999999996</v>
      </c>
      <c r="D24" s="30">
        <f aca="true" t="shared" si="7" ref="D24:O24">SUM(D25:D26)</f>
        <v>35118.25</v>
      </c>
      <c r="E24" s="30">
        <f t="shared" si="7"/>
        <v>32304.93</v>
      </c>
      <c r="F24" s="30">
        <f t="shared" si="7"/>
        <v>30290.98</v>
      </c>
      <c r="G24" s="30">
        <f t="shared" si="7"/>
        <v>31878.88</v>
      </c>
      <c r="H24" s="30">
        <f t="shared" si="7"/>
        <v>33651.02</v>
      </c>
      <c r="I24" s="30">
        <f t="shared" si="7"/>
        <v>27830.44</v>
      </c>
      <c r="J24" s="30">
        <f t="shared" si="7"/>
        <v>24817.74</v>
      </c>
      <c r="K24" s="30">
        <f t="shared" si="7"/>
        <v>28617.36</v>
      </c>
      <c r="L24" s="30">
        <f t="shared" si="7"/>
        <v>27559.239999999998</v>
      </c>
      <c r="M24" s="30">
        <f t="shared" si="7"/>
        <v>31445.38</v>
      </c>
      <c r="N24" s="30">
        <f t="shared" si="7"/>
        <v>32462.230000000003</v>
      </c>
      <c r="O24" s="30">
        <f t="shared" si="7"/>
        <v>24379.44</v>
      </c>
    </row>
    <row r="25" spans="1:15" ht="12.75">
      <c r="A25" s="35"/>
      <c r="B25" s="36" t="s">
        <v>14</v>
      </c>
      <c r="C25" s="10">
        <f t="shared" si="0"/>
        <v>335345.12999999995</v>
      </c>
      <c r="D25" s="10">
        <v>32812.13</v>
      </c>
      <c r="E25" s="10">
        <v>30044.01</v>
      </c>
      <c r="F25" s="10">
        <v>27079.79</v>
      </c>
      <c r="G25" s="10">
        <v>29514.25</v>
      </c>
      <c r="H25" s="10">
        <v>31561.55</v>
      </c>
      <c r="I25" s="10">
        <v>25836.87</v>
      </c>
      <c r="J25" s="10">
        <v>22796.49</v>
      </c>
      <c r="K25" s="10">
        <v>26433.07</v>
      </c>
      <c r="L25" s="10">
        <v>25603.96</v>
      </c>
      <c r="M25" s="10">
        <v>29142.83</v>
      </c>
      <c r="N25" s="10">
        <v>30140.74</v>
      </c>
      <c r="O25" s="10">
        <v>24379.44</v>
      </c>
    </row>
    <row r="26" spans="1:15" ht="12.75">
      <c r="A26" s="35"/>
      <c r="B26" s="36" t="s">
        <v>15</v>
      </c>
      <c r="C26" s="10">
        <f t="shared" si="0"/>
        <v>25010.759999999995</v>
      </c>
      <c r="D26" s="10">
        <v>2306.12</v>
      </c>
      <c r="E26" s="10">
        <v>2260.92</v>
      </c>
      <c r="F26" s="10">
        <v>3211.19</v>
      </c>
      <c r="G26" s="10">
        <v>2364.63</v>
      </c>
      <c r="H26" s="10">
        <v>2089.47</v>
      </c>
      <c r="I26" s="10">
        <v>1993.57</v>
      </c>
      <c r="J26" s="10">
        <v>2021.25</v>
      </c>
      <c r="K26" s="10">
        <v>2184.29</v>
      </c>
      <c r="L26" s="10">
        <v>1955.28</v>
      </c>
      <c r="M26" s="10">
        <v>2302.55</v>
      </c>
      <c r="N26" s="10">
        <v>2321.49</v>
      </c>
      <c r="O26" s="10"/>
    </row>
    <row r="27" spans="1:15" s="25" customFormat="1" ht="12.75">
      <c r="A27" s="28">
        <v>8</v>
      </c>
      <c r="B27" s="39" t="s">
        <v>22</v>
      </c>
      <c r="C27" s="30">
        <f t="shared" si="0"/>
        <v>2191386.2600000002</v>
      </c>
      <c r="D27" s="30">
        <f>SUM(D28:D30)</f>
        <v>213570.98</v>
      </c>
      <c r="E27" s="30">
        <f aca="true" t="shared" si="8" ref="E27:N27">SUM(E28:E30)</f>
        <v>216337.67999999996</v>
      </c>
      <c r="F27" s="30">
        <f t="shared" si="8"/>
        <v>193181.44</v>
      </c>
      <c r="G27" s="30">
        <f t="shared" si="8"/>
        <v>189969.95</v>
      </c>
      <c r="H27" s="30">
        <f t="shared" si="8"/>
        <v>195242.52000000002</v>
      </c>
      <c r="I27" s="30">
        <f t="shared" si="8"/>
        <v>157512.47</v>
      </c>
      <c r="J27" s="30">
        <f t="shared" si="8"/>
        <v>163318.46000000002</v>
      </c>
      <c r="K27" s="30">
        <f t="shared" si="8"/>
        <v>193067.53</v>
      </c>
      <c r="L27" s="30">
        <f t="shared" si="8"/>
        <v>171798.08000000002</v>
      </c>
      <c r="M27" s="30">
        <f t="shared" si="8"/>
        <v>196936.98</v>
      </c>
      <c r="N27" s="30">
        <f t="shared" si="8"/>
        <v>205090.84000000003</v>
      </c>
      <c r="O27" s="30">
        <f>SUM(O28:O30)</f>
        <v>95359.33</v>
      </c>
    </row>
    <row r="28" spans="1:15" ht="12.75">
      <c r="A28" s="35"/>
      <c r="B28" s="36" t="s">
        <v>14</v>
      </c>
      <c r="C28" s="10">
        <f t="shared" si="0"/>
        <v>1081009.9099999997</v>
      </c>
      <c r="D28" s="10">
        <v>103578.12</v>
      </c>
      <c r="E28" s="10">
        <v>107662.9</v>
      </c>
      <c r="F28" s="10">
        <v>86831.41</v>
      </c>
      <c r="G28" s="10">
        <v>90300.71</v>
      </c>
      <c r="H28" s="10">
        <v>80246.92</v>
      </c>
      <c r="I28" s="10">
        <v>78555.27</v>
      </c>
      <c r="J28" s="10">
        <v>75414.96</v>
      </c>
      <c r="K28" s="10">
        <v>84505.81</v>
      </c>
      <c r="L28" s="10">
        <v>84386.08</v>
      </c>
      <c r="M28" s="10">
        <v>97432.47</v>
      </c>
      <c r="N28" s="10">
        <v>101415.88</v>
      </c>
      <c r="O28" s="10">
        <v>90679.38</v>
      </c>
    </row>
    <row r="29" spans="1:15" ht="12.75">
      <c r="A29" s="35"/>
      <c r="B29" s="36" t="s">
        <v>15</v>
      </c>
      <c r="C29" s="10">
        <f t="shared" si="0"/>
        <v>952261.23</v>
      </c>
      <c r="D29" s="10">
        <v>103866.07</v>
      </c>
      <c r="E29" s="10">
        <v>102627.45</v>
      </c>
      <c r="F29" s="10">
        <v>100508.31</v>
      </c>
      <c r="G29" s="10">
        <v>93768.17</v>
      </c>
      <c r="H29" s="10">
        <v>108078.59</v>
      </c>
      <c r="I29" s="10">
        <v>74076.85</v>
      </c>
      <c r="J29" s="10">
        <v>83783.24</v>
      </c>
      <c r="K29" s="10">
        <v>103338.66</v>
      </c>
      <c r="L29" s="10">
        <v>83041.5</v>
      </c>
      <c r="M29" s="10">
        <v>92754.25</v>
      </c>
      <c r="N29" s="10">
        <v>6418.14</v>
      </c>
      <c r="O29" s="10"/>
    </row>
    <row r="30" spans="1:15" ht="12.75">
      <c r="A30" s="35"/>
      <c r="B30" s="36" t="s">
        <v>16</v>
      </c>
      <c r="C30" s="10">
        <f t="shared" si="0"/>
        <v>158115.12000000002</v>
      </c>
      <c r="D30" s="10">
        <v>6126.79</v>
      </c>
      <c r="E30" s="10">
        <v>6047.33</v>
      </c>
      <c r="F30" s="10">
        <v>5841.72</v>
      </c>
      <c r="G30" s="10">
        <v>5901.07</v>
      </c>
      <c r="H30" s="10">
        <v>6917.01</v>
      </c>
      <c r="I30" s="10">
        <v>4880.35</v>
      </c>
      <c r="J30" s="10">
        <v>4120.26</v>
      </c>
      <c r="K30" s="10">
        <v>5223.06</v>
      </c>
      <c r="L30" s="10">
        <v>4370.5</v>
      </c>
      <c r="M30" s="10">
        <v>6750.26</v>
      </c>
      <c r="N30" s="10">
        <v>97256.82</v>
      </c>
      <c r="O30" s="10">
        <v>4679.95</v>
      </c>
    </row>
    <row r="31" spans="1:15" s="25" customFormat="1" ht="12.75">
      <c r="A31" s="28">
        <v>9</v>
      </c>
      <c r="B31" s="39" t="s">
        <v>60</v>
      </c>
      <c r="C31" s="30">
        <f t="shared" si="0"/>
        <v>0</v>
      </c>
      <c r="D31" s="30">
        <f aca="true" t="shared" si="9" ref="D31:O31">SUM(D32:D34)</f>
        <v>0</v>
      </c>
      <c r="E31" s="30">
        <f t="shared" si="9"/>
        <v>0</v>
      </c>
      <c r="F31" s="30">
        <f t="shared" si="9"/>
        <v>0</v>
      </c>
      <c r="G31" s="30">
        <f t="shared" si="9"/>
        <v>0</v>
      </c>
      <c r="H31" s="30">
        <f t="shared" si="9"/>
        <v>0</v>
      </c>
      <c r="I31" s="30">
        <f t="shared" si="9"/>
        <v>0</v>
      </c>
      <c r="J31" s="30">
        <f t="shared" si="9"/>
        <v>0</v>
      </c>
      <c r="K31" s="30">
        <f t="shared" si="9"/>
        <v>0</v>
      </c>
      <c r="L31" s="30">
        <f t="shared" si="9"/>
        <v>0</v>
      </c>
      <c r="M31" s="30">
        <f t="shared" si="9"/>
        <v>0</v>
      </c>
      <c r="N31" s="30">
        <f t="shared" si="9"/>
        <v>0</v>
      </c>
      <c r="O31" s="30">
        <f t="shared" si="9"/>
        <v>0</v>
      </c>
    </row>
    <row r="32" spans="1:15" ht="12.75">
      <c r="A32" s="35"/>
      <c r="B32" s="36" t="s">
        <v>14</v>
      </c>
      <c r="C32" s="10">
        <f aca="true" t="shared" si="10" ref="C32:C40">SUM(D32:O32)</f>
        <v>0</v>
      </c>
      <c r="D32" s="10"/>
      <c r="E32" s="10"/>
      <c r="F32" s="10"/>
      <c r="G32" s="10"/>
      <c r="H32" s="10"/>
      <c r="I32" s="10"/>
      <c r="J32" s="10"/>
      <c r="K32" s="10"/>
      <c r="L32" s="10"/>
      <c r="M32" s="10"/>
      <c r="N32" s="10"/>
      <c r="O32" s="10"/>
    </row>
    <row r="33" spans="1:15" ht="12.75">
      <c r="A33" s="35"/>
      <c r="B33" s="36" t="s">
        <v>15</v>
      </c>
      <c r="C33" s="10">
        <f t="shared" si="10"/>
        <v>0</v>
      </c>
      <c r="D33" s="10"/>
      <c r="E33" s="10"/>
      <c r="F33" s="10"/>
      <c r="G33" s="10"/>
      <c r="H33" s="10"/>
      <c r="I33" s="10"/>
      <c r="J33" s="10"/>
      <c r="K33" s="10"/>
      <c r="L33" s="10"/>
      <c r="M33" s="10"/>
      <c r="N33" s="10"/>
      <c r="O33" s="10"/>
    </row>
    <row r="34" spans="1:15" ht="12.75">
      <c r="A34" s="35"/>
      <c r="B34" s="36" t="s">
        <v>16</v>
      </c>
      <c r="C34" s="10">
        <f t="shared" si="10"/>
        <v>0</v>
      </c>
      <c r="D34" s="10"/>
      <c r="E34" s="10"/>
      <c r="F34" s="10"/>
      <c r="G34" s="10"/>
      <c r="H34" s="10"/>
      <c r="I34" s="10"/>
      <c r="J34" s="10"/>
      <c r="K34" s="10"/>
      <c r="L34" s="10"/>
      <c r="M34" s="10"/>
      <c r="N34" s="10"/>
      <c r="O34" s="10"/>
    </row>
    <row r="35" spans="1:15" s="25" customFormat="1" ht="12.75">
      <c r="A35" s="28">
        <v>10</v>
      </c>
      <c r="B35" s="39" t="s">
        <v>23</v>
      </c>
      <c r="C35" s="30">
        <f t="shared" si="10"/>
        <v>31926.139999999996</v>
      </c>
      <c r="D35" s="30">
        <v>2401.53</v>
      </c>
      <c r="E35" s="30">
        <v>2906.9</v>
      </c>
      <c r="F35" s="30">
        <v>2990.31</v>
      </c>
      <c r="G35" s="30">
        <v>3930.97</v>
      </c>
      <c r="H35" s="30">
        <v>4014.97</v>
      </c>
      <c r="I35" s="30">
        <v>3567.36</v>
      </c>
      <c r="J35" s="30">
        <v>2378.74</v>
      </c>
      <c r="K35" s="30">
        <v>2157.35</v>
      </c>
      <c r="L35" s="30">
        <v>1769.9</v>
      </c>
      <c r="M35" s="30">
        <v>1694.16</v>
      </c>
      <c r="N35" s="30">
        <v>2039.51</v>
      </c>
      <c r="O35" s="30">
        <v>2074.44</v>
      </c>
    </row>
    <row r="36" spans="1:15" s="25" customFormat="1" ht="12.75">
      <c r="A36" s="28">
        <v>11</v>
      </c>
      <c r="B36" s="39" t="s">
        <v>214</v>
      </c>
      <c r="C36" s="30">
        <f t="shared" si="10"/>
        <v>0</v>
      </c>
      <c r="D36" s="30">
        <f>SUM(D37:D38)</f>
        <v>0</v>
      </c>
      <c r="E36" s="30">
        <f aca="true" t="shared" si="11" ref="E36:O36">SUM(E37:E38)</f>
        <v>0</v>
      </c>
      <c r="F36" s="30">
        <f t="shared" si="11"/>
        <v>0</v>
      </c>
      <c r="G36" s="30">
        <f t="shared" si="11"/>
        <v>0</v>
      </c>
      <c r="H36" s="30">
        <f t="shared" si="11"/>
        <v>0</v>
      </c>
      <c r="I36" s="30">
        <f t="shared" si="11"/>
        <v>0</v>
      </c>
      <c r="J36" s="30">
        <f t="shared" si="11"/>
        <v>0</v>
      </c>
      <c r="K36" s="30">
        <f t="shared" si="11"/>
        <v>0</v>
      </c>
      <c r="L36" s="30">
        <f t="shared" si="11"/>
        <v>0</v>
      </c>
      <c r="M36" s="30">
        <f t="shared" si="11"/>
        <v>0</v>
      </c>
      <c r="N36" s="30">
        <f t="shared" si="11"/>
        <v>0</v>
      </c>
      <c r="O36" s="30">
        <f t="shared" si="11"/>
        <v>0</v>
      </c>
    </row>
    <row r="37" spans="1:15" ht="12.75">
      <c r="A37" s="35"/>
      <c r="B37" s="36" t="s">
        <v>14</v>
      </c>
      <c r="C37" s="10">
        <f t="shared" si="10"/>
        <v>0</v>
      </c>
      <c r="D37" s="10"/>
      <c r="E37" s="10"/>
      <c r="F37" s="10"/>
      <c r="G37" s="10"/>
      <c r="H37" s="10"/>
      <c r="I37" s="10"/>
      <c r="J37" s="10"/>
      <c r="K37" s="10"/>
      <c r="L37" s="10"/>
      <c r="M37" s="10"/>
      <c r="N37" s="10"/>
      <c r="O37" s="10"/>
    </row>
    <row r="38" spans="1:15" ht="12.75">
      <c r="A38" s="35"/>
      <c r="B38" s="36" t="s">
        <v>16</v>
      </c>
      <c r="C38" s="10">
        <f t="shared" si="10"/>
        <v>0</v>
      </c>
      <c r="D38" s="10"/>
      <c r="E38" s="10"/>
      <c r="F38" s="10"/>
      <c r="G38" s="10"/>
      <c r="H38" s="10"/>
      <c r="I38" s="10"/>
      <c r="J38" s="10"/>
      <c r="K38" s="10"/>
      <c r="L38" s="10"/>
      <c r="M38" s="10"/>
      <c r="N38" s="10"/>
      <c r="O38" s="10"/>
    </row>
    <row r="39" spans="1:17" s="25" customFormat="1" ht="25.5">
      <c r="A39" s="28">
        <v>12</v>
      </c>
      <c r="B39" s="33" t="s">
        <v>55</v>
      </c>
      <c r="C39" s="34">
        <f t="shared" si="10"/>
        <v>191000</v>
      </c>
      <c r="D39" s="30">
        <f>Провайдеры!D17</f>
        <v>14500</v>
      </c>
      <c r="E39" s="30">
        <f>Провайдеры!E17</f>
        <v>14500</v>
      </c>
      <c r="F39" s="30">
        <f>Провайдеры!F17</f>
        <v>16500</v>
      </c>
      <c r="G39" s="30">
        <f>Провайдеры!G17</f>
        <v>14500</v>
      </c>
      <c r="H39" s="30">
        <f>Провайдеры!H17</f>
        <v>14500</v>
      </c>
      <c r="I39" s="30">
        <f>Провайдеры!I17</f>
        <v>14500</v>
      </c>
      <c r="J39" s="30">
        <f>Провайдеры!J17</f>
        <v>14500</v>
      </c>
      <c r="K39" s="30">
        <f>Провайдеры!K17</f>
        <v>17500</v>
      </c>
      <c r="L39" s="30">
        <f>Провайдеры!L17</f>
        <v>17500</v>
      </c>
      <c r="M39" s="30">
        <f>Провайдеры!M17</f>
        <v>17500</v>
      </c>
      <c r="N39" s="30">
        <f>Провайдеры!N17</f>
        <v>17500</v>
      </c>
      <c r="O39" s="30">
        <f>Провайдеры!O17</f>
        <v>17500</v>
      </c>
      <c r="P39" s="21"/>
      <c r="Q39" s="21"/>
    </row>
    <row r="40" spans="1:15" s="25" customFormat="1" ht="12.75">
      <c r="A40" s="40">
        <v>13</v>
      </c>
      <c r="B40" s="41" t="s">
        <v>132</v>
      </c>
      <c r="C40" s="42">
        <f t="shared" si="10"/>
        <v>0</v>
      </c>
      <c r="D40" s="42"/>
      <c r="E40" s="42"/>
      <c r="F40" s="42"/>
      <c r="G40" s="30"/>
      <c r="H40" s="42"/>
      <c r="I40" s="42"/>
      <c r="J40" s="30"/>
      <c r="K40" s="42"/>
      <c r="L40" s="42"/>
      <c r="M40" s="42"/>
      <c r="N40" s="42"/>
      <c r="O40" s="30"/>
    </row>
    <row r="41" spans="1:18" s="26" customFormat="1" ht="12.75">
      <c r="A41" s="43"/>
      <c r="B41" s="43" t="s">
        <v>133</v>
      </c>
      <c r="C41" s="24">
        <f>SUMIF($A$3:$A$40,"&lt;&gt;",C3:C40)-C36</f>
        <v>9261769.27</v>
      </c>
      <c r="D41" s="24">
        <f aca="true" t="shared" si="12" ref="D41:O41">SUMIF($A$3:$A$40,"&lt;&gt;",D3:D40)-D36</f>
        <v>994707.7000000001</v>
      </c>
      <c r="E41" s="24">
        <f>SUMIF($A$3:$A$40,"&lt;&gt;",E3:E40)-E36</f>
        <v>952768.06</v>
      </c>
      <c r="F41" s="24">
        <f t="shared" si="12"/>
        <v>851038.3</v>
      </c>
      <c r="G41" s="24">
        <f t="shared" si="12"/>
        <v>813391.44</v>
      </c>
      <c r="H41" s="24">
        <f t="shared" si="12"/>
        <v>745983.19</v>
      </c>
      <c r="I41" s="24">
        <f t="shared" si="12"/>
        <v>649489.86</v>
      </c>
      <c r="J41" s="24">
        <f t="shared" si="12"/>
        <v>611863.86</v>
      </c>
      <c r="K41" s="24">
        <f t="shared" si="12"/>
        <v>666625.39</v>
      </c>
      <c r="L41" s="24">
        <f t="shared" si="12"/>
        <v>643993.88</v>
      </c>
      <c r="M41" s="24">
        <f t="shared" si="12"/>
        <v>746646.64</v>
      </c>
      <c r="N41" s="24">
        <f>SUMIF($A$3:$A$40,"&lt;&gt;",N3:N40)-N36</f>
        <v>866456.53</v>
      </c>
      <c r="O41" s="24">
        <f t="shared" si="12"/>
        <v>718804.4199999998</v>
      </c>
      <c r="P41" s="27"/>
      <c r="Q41" s="27"/>
      <c r="R41" s="27"/>
    </row>
    <row r="42" spans="1:15" s="26" customFormat="1" ht="12.75">
      <c r="A42" s="44"/>
      <c r="B42" s="45"/>
      <c r="C42" s="45"/>
      <c r="D42" s="45"/>
      <c r="E42" s="45"/>
      <c r="F42" s="45"/>
      <c r="G42" s="45"/>
      <c r="H42" s="45"/>
      <c r="I42" s="45"/>
      <c r="J42" s="45"/>
      <c r="K42" s="45"/>
      <c r="L42" s="45"/>
      <c r="M42" s="45"/>
      <c r="N42" s="45"/>
      <c r="O42" s="45"/>
    </row>
    <row r="43" spans="1:15" ht="25.5">
      <c r="A43" s="46" t="s">
        <v>0</v>
      </c>
      <c r="B43" s="46" t="s">
        <v>58</v>
      </c>
      <c r="C43" s="47" t="s">
        <v>1</v>
      </c>
      <c r="D43" s="47" t="s">
        <v>2</v>
      </c>
      <c r="E43" s="47" t="s">
        <v>3</v>
      </c>
      <c r="F43" s="47" t="s">
        <v>4</v>
      </c>
      <c r="G43" s="47" t="s">
        <v>5</v>
      </c>
      <c r="H43" s="47" t="s">
        <v>6</v>
      </c>
      <c r="I43" s="47" t="s">
        <v>7</v>
      </c>
      <c r="J43" s="47" t="s">
        <v>8</v>
      </c>
      <c r="K43" s="47" t="s">
        <v>9</v>
      </c>
      <c r="L43" s="47" t="s">
        <v>10</v>
      </c>
      <c r="M43" s="47" t="s">
        <v>11</v>
      </c>
      <c r="N43" s="47" t="s">
        <v>12</v>
      </c>
      <c r="O43" s="47" t="s">
        <v>13</v>
      </c>
    </row>
    <row r="44" spans="1:15" s="25" customFormat="1" ht="25.5">
      <c r="A44" s="28">
        <v>1</v>
      </c>
      <c r="B44" s="29" t="s">
        <v>49</v>
      </c>
      <c r="C44" s="30">
        <f>SUM(D44:O44)</f>
        <v>3565985.13</v>
      </c>
      <c r="D44" s="30">
        <f>SUM(D45:D47)</f>
        <v>165949.38</v>
      </c>
      <c r="E44" s="30">
        <f aca="true" t="shared" si="13" ref="E44:N44">SUM(E45:E47)</f>
        <v>247856.95999999996</v>
      </c>
      <c r="F44" s="30">
        <f t="shared" si="13"/>
        <v>356055.38</v>
      </c>
      <c r="G44" s="30">
        <f t="shared" si="13"/>
        <v>328327.51</v>
      </c>
      <c r="H44" s="30">
        <f t="shared" si="13"/>
        <v>287556.38</v>
      </c>
      <c r="I44" s="30">
        <f t="shared" si="13"/>
        <v>288774.42000000004</v>
      </c>
      <c r="J44" s="30">
        <f t="shared" si="13"/>
        <v>342559.5</v>
      </c>
      <c r="K44" s="30">
        <f t="shared" si="13"/>
        <v>315830.52</v>
      </c>
      <c r="L44" s="30">
        <f t="shared" si="13"/>
        <v>251096.80999999997</v>
      </c>
      <c r="M44" s="30">
        <f t="shared" si="13"/>
        <v>339021.17</v>
      </c>
      <c r="N44" s="30">
        <f t="shared" si="13"/>
        <v>268200.96</v>
      </c>
      <c r="O44" s="30">
        <f>SUM(O45:O47)</f>
        <v>374756.14</v>
      </c>
    </row>
    <row r="45" spans="1:17" ht="12.75">
      <c r="A45" s="35"/>
      <c r="B45" s="48" t="s">
        <v>14</v>
      </c>
      <c r="C45" s="30">
        <f>SUM(D45:O45)</f>
        <v>2946689.85</v>
      </c>
      <c r="D45" s="10">
        <v>141410.54</v>
      </c>
      <c r="E45" s="10">
        <v>201802.9</v>
      </c>
      <c r="F45" s="10">
        <v>305470.55</v>
      </c>
      <c r="G45" s="10">
        <v>281328.22</v>
      </c>
      <c r="H45" s="10">
        <v>224829.33</v>
      </c>
      <c r="I45" s="10">
        <v>248146.94</v>
      </c>
      <c r="J45" s="10">
        <v>270288.52</v>
      </c>
      <c r="K45" s="10">
        <v>273190.08</v>
      </c>
      <c r="L45" s="10">
        <v>197428.52</v>
      </c>
      <c r="M45" s="10">
        <v>289465.77</v>
      </c>
      <c r="N45" s="10">
        <v>205782.69</v>
      </c>
      <c r="O45" s="10">
        <v>307545.79</v>
      </c>
      <c r="Q45" s="9"/>
    </row>
    <row r="46" spans="1:17" ht="12.75">
      <c r="A46" s="35"/>
      <c r="B46" s="48" t="s">
        <v>15</v>
      </c>
      <c r="C46" s="30">
        <f aca="true" t="shared" si="14" ref="C46:C75">SUM(D46:O46)</f>
        <v>366445.26</v>
      </c>
      <c r="D46" s="10">
        <v>16514.27</v>
      </c>
      <c r="E46" s="10">
        <v>34018.2</v>
      </c>
      <c r="F46" s="10">
        <v>29611.77</v>
      </c>
      <c r="G46" s="10">
        <v>29946.03</v>
      </c>
      <c r="H46" s="10">
        <v>39333.98</v>
      </c>
      <c r="I46" s="10">
        <v>25039.64</v>
      </c>
      <c r="J46" s="10">
        <v>47988.29</v>
      </c>
      <c r="K46" s="10">
        <v>19959.14</v>
      </c>
      <c r="L46" s="10">
        <v>33705.2</v>
      </c>
      <c r="M46" s="10">
        <v>27904.05</v>
      </c>
      <c r="N46" s="10">
        <v>35319.68</v>
      </c>
      <c r="O46" s="10">
        <v>27105.01</v>
      </c>
      <c r="P46" s="9"/>
      <c r="Q46" s="9"/>
    </row>
    <row r="47" spans="1:17" ht="12.75">
      <c r="A47" s="37"/>
      <c r="B47" s="48" t="s">
        <v>16</v>
      </c>
      <c r="C47" s="30">
        <f t="shared" si="14"/>
        <v>252850.02</v>
      </c>
      <c r="D47" s="10">
        <v>8024.57</v>
      </c>
      <c r="E47" s="10">
        <v>12035.86</v>
      </c>
      <c r="F47" s="10">
        <v>20973.06</v>
      </c>
      <c r="G47" s="10">
        <v>17053.26</v>
      </c>
      <c r="H47" s="10">
        <v>23393.07</v>
      </c>
      <c r="I47" s="10">
        <v>15587.84</v>
      </c>
      <c r="J47" s="10">
        <v>24282.69</v>
      </c>
      <c r="K47" s="10">
        <v>22681.3</v>
      </c>
      <c r="L47" s="10">
        <v>19963.09</v>
      </c>
      <c r="M47" s="10">
        <v>21651.35</v>
      </c>
      <c r="N47" s="10">
        <v>27098.59</v>
      </c>
      <c r="O47" s="10">
        <v>40105.34</v>
      </c>
      <c r="Q47" s="9"/>
    </row>
    <row r="48" spans="1:15" s="25" customFormat="1" ht="12.75">
      <c r="A48" s="28">
        <v>2</v>
      </c>
      <c r="B48" s="29" t="s">
        <v>50</v>
      </c>
      <c r="C48" s="30">
        <f t="shared" si="14"/>
        <v>558494.67</v>
      </c>
      <c r="D48" s="30">
        <f aca="true" t="shared" si="15" ref="D48:N48">SUM(D49:D51)</f>
        <v>29169.600000000002</v>
      </c>
      <c r="E48" s="30">
        <f t="shared" si="15"/>
        <v>40870.09</v>
      </c>
      <c r="F48" s="30">
        <f t="shared" si="15"/>
        <v>55940.67</v>
      </c>
      <c r="G48" s="30">
        <f>SUM(G49:G51)</f>
        <v>51678.99</v>
      </c>
      <c r="H48" s="30">
        <f t="shared" si="15"/>
        <v>44577.86</v>
      </c>
      <c r="I48" s="30">
        <f t="shared" si="15"/>
        <v>44770.850000000006</v>
      </c>
      <c r="J48" s="30">
        <f t="shared" si="15"/>
        <v>52835.64000000001</v>
      </c>
      <c r="K48" s="30">
        <f t="shared" si="15"/>
        <v>48576.55</v>
      </c>
      <c r="L48" s="30">
        <f t="shared" si="15"/>
        <v>38628.06</v>
      </c>
      <c r="M48" s="30">
        <f t="shared" si="15"/>
        <v>52030.57</v>
      </c>
      <c r="N48" s="30">
        <f t="shared" si="15"/>
        <v>41479.79</v>
      </c>
      <c r="O48" s="30">
        <f>SUM(O49:O51)</f>
        <v>57935.99999999999</v>
      </c>
    </row>
    <row r="49" spans="1:15" ht="12.75">
      <c r="A49" s="35"/>
      <c r="B49" s="48" t="s">
        <v>14</v>
      </c>
      <c r="C49" s="30">
        <f t="shared" si="14"/>
        <v>459190.6600000001</v>
      </c>
      <c r="D49" s="10">
        <v>23928.27</v>
      </c>
      <c r="E49" s="10">
        <v>32732.93</v>
      </c>
      <c r="F49" s="10">
        <v>47987.71</v>
      </c>
      <c r="G49" s="10">
        <v>44072.12</v>
      </c>
      <c r="H49" s="10">
        <v>34789.06</v>
      </c>
      <c r="I49" s="10">
        <v>38523.62</v>
      </c>
      <c r="J49" s="10">
        <v>41720.55</v>
      </c>
      <c r="K49" s="10">
        <v>42028.03</v>
      </c>
      <c r="L49" s="10">
        <v>30280.46</v>
      </c>
      <c r="M49" s="10">
        <v>44396.59</v>
      </c>
      <c r="N49" s="10">
        <v>31561.69</v>
      </c>
      <c r="O49" s="10">
        <v>47169.63</v>
      </c>
    </row>
    <row r="50" spans="1:15" ht="12.75">
      <c r="A50" s="35"/>
      <c r="B50" s="48" t="s">
        <v>15</v>
      </c>
      <c r="C50" s="30">
        <f t="shared" si="14"/>
        <v>56774.79</v>
      </c>
      <c r="D50" s="10">
        <v>2799.02</v>
      </c>
      <c r="E50" s="10">
        <v>5494.41</v>
      </c>
      <c r="F50" s="10">
        <v>4570.16</v>
      </c>
      <c r="G50" s="10">
        <v>4592.95</v>
      </c>
      <c r="H50" s="10">
        <v>6032.83</v>
      </c>
      <c r="I50" s="10">
        <v>3840.44</v>
      </c>
      <c r="J50" s="10">
        <v>7360.16</v>
      </c>
      <c r="K50" s="10">
        <v>3061.22</v>
      </c>
      <c r="L50" s="10">
        <v>5169.51</v>
      </c>
      <c r="M50" s="10">
        <v>4279.76</v>
      </c>
      <c r="N50" s="10">
        <v>5417.13</v>
      </c>
      <c r="O50" s="10">
        <v>4157.2</v>
      </c>
    </row>
    <row r="51" spans="1:15" ht="12.75">
      <c r="A51" s="37"/>
      <c r="B51" s="48" t="s">
        <v>16</v>
      </c>
      <c r="C51" s="30">
        <f t="shared" si="14"/>
        <v>42529.22</v>
      </c>
      <c r="D51" s="10">
        <v>2442.31</v>
      </c>
      <c r="E51" s="10">
        <v>2642.75</v>
      </c>
      <c r="F51" s="10">
        <v>3382.8</v>
      </c>
      <c r="G51" s="10">
        <v>3013.92</v>
      </c>
      <c r="H51" s="10">
        <v>3755.97</v>
      </c>
      <c r="I51" s="10">
        <v>2406.79</v>
      </c>
      <c r="J51" s="10">
        <v>3754.93</v>
      </c>
      <c r="K51" s="10">
        <v>3487.3</v>
      </c>
      <c r="L51" s="10">
        <v>3178.09</v>
      </c>
      <c r="M51" s="10">
        <v>3354.22</v>
      </c>
      <c r="N51" s="10">
        <v>4500.97</v>
      </c>
      <c r="O51" s="10">
        <v>6609.17</v>
      </c>
    </row>
    <row r="52" spans="1:15" s="25" customFormat="1" ht="12.75">
      <c r="A52" s="28">
        <v>3</v>
      </c>
      <c r="B52" s="49" t="s">
        <v>17</v>
      </c>
      <c r="C52" s="30">
        <f t="shared" si="14"/>
        <v>1157646.58</v>
      </c>
      <c r="D52" s="30">
        <f aca="true" t="shared" si="16" ref="D52:N52">SUM(D53:D55)</f>
        <v>99485.34999999999</v>
      </c>
      <c r="E52" s="30">
        <f t="shared" si="16"/>
        <v>178253.35</v>
      </c>
      <c r="F52" s="30">
        <f t="shared" si="16"/>
        <v>250671.83000000002</v>
      </c>
      <c r="G52" s="30">
        <f t="shared" si="16"/>
        <v>194782.50999999998</v>
      </c>
      <c r="H52" s="30">
        <f t="shared" si="16"/>
        <v>130999.19999999998</v>
      </c>
      <c r="I52" s="30">
        <f t="shared" si="16"/>
        <v>64139.46000000001</v>
      </c>
      <c r="J52" s="30">
        <f t="shared" si="16"/>
        <v>48301.66</v>
      </c>
      <c r="K52" s="30">
        <f t="shared" si="16"/>
        <v>23655.07</v>
      </c>
      <c r="L52" s="30">
        <f t="shared" si="16"/>
        <v>7574.160000000001</v>
      </c>
      <c r="M52" s="30">
        <f t="shared" si="16"/>
        <v>4882.76</v>
      </c>
      <c r="N52" s="30">
        <f t="shared" si="16"/>
        <v>36371.9</v>
      </c>
      <c r="O52" s="30">
        <f>SUM(O53:O55)</f>
        <v>118529.33</v>
      </c>
    </row>
    <row r="53" spans="1:15" ht="12.75">
      <c r="A53" s="35"/>
      <c r="B53" s="48" t="s">
        <v>14</v>
      </c>
      <c r="C53" s="30">
        <f t="shared" si="14"/>
        <v>826698.66</v>
      </c>
      <c r="D53" s="10">
        <v>68966.73</v>
      </c>
      <c r="E53" s="10">
        <v>113556.1</v>
      </c>
      <c r="F53" s="10">
        <v>185593.04</v>
      </c>
      <c r="G53" s="10">
        <v>138802.77</v>
      </c>
      <c r="H53" s="10">
        <v>86844.28</v>
      </c>
      <c r="I53" s="10">
        <v>50971.22</v>
      </c>
      <c r="J53" s="10">
        <v>42294.41</v>
      </c>
      <c r="K53" s="10">
        <v>22273.53</v>
      </c>
      <c r="L53" s="10">
        <v>5816.39</v>
      </c>
      <c r="M53" s="10">
        <v>4543.34</v>
      </c>
      <c r="N53" s="10">
        <v>23840.02</v>
      </c>
      <c r="O53" s="10">
        <v>83196.83</v>
      </c>
    </row>
    <row r="54" spans="1:15" ht="12.75">
      <c r="A54" s="35"/>
      <c r="B54" s="48" t="s">
        <v>15</v>
      </c>
      <c r="C54" s="30">
        <f t="shared" si="14"/>
        <v>218884.93</v>
      </c>
      <c r="D54" s="10">
        <v>21025.95</v>
      </c>
      <c r="E54" s="10">
        <v>50954.44</v>
      </c>
      <c r="F54" s="10">
        <v>38818.31</v>
      </c>
      <c r="G54" s="10">
        <v>39855.72</v>
      </c>
      <c r="H54" s="10">
        <v>28852.71</v>
      </c>
      <c r="I54" s="10">
        <v>8794.47</v>
      </c>
      <c r="J54" s="10">
        <v>3274.72</v>
      </c>
      <c r="K54" s="10"/>
      <c r="L54" s="10">
        <v>96.39</v>
      </c>
      <c r="M54" s="10"/>
      <c r="N54" s="10">
        <v>8348.49</v>
      </c>
      <c r="O54" s="10">
        <v>18863.73</v>
      </c>
    </row>
    <row r="55" spans="1:15" ht="12.75">
      <c r="A55" s="35"/>
      <c r="B55" s="48" t="s">
        <v>16</v>
      </c>
      <c r="C55" s="30">
        <f t="shared" si="14"/>
        <v>112062.99</v>
      </c>
      <c r="D55" s="10">
        <v>9492.67</v>
      </c>
      <c r="E55" s="10">
        <v>13742.81</v>
      </c>
      <c r="F55" s="10">
        <v>26260.48</v>
      </c>
      <c r="G55" s="10">
        <v>16124.02</v>
      </c>
      <c r="H55" s="10">
        <v>15302.21</v>
      </c>
      <c r="I55" s="10">
        <v>4373.77</v>
      </c>
      <c r="J55" s="10">
        <v>2732.53</v>
      </c>
      <c r="K55" s="10">
        <v>1381.54</v>
      </c>
      <c r="L55" s="10">
        <v>1661.38</v>
      </c>
      <c r="M55" s="10">
        <v>339.42</v>
      </c>
      <c r="N55" s="10">
        <v>4183.39</v>
      </c>
      <c r="O55" s="10">
        <v>16468.77</v>
      </c>
    </row>
    <row r="56" spans="1:15" s="25" customFormat="1" ht="12.75">
      <c r="A56" s="28">
        <v>4</v>
      </c>
      <c r="B56" s="49" t="s">
        <v>18</v>
      </c>
      <c r="C56" s="30">
        <f t="shared" si="14"/>
        <v>393790.18999999994</v>
      </c>
      <c r="D56" s="30">
        <f>SUM(D57:D58)</f>
        <v>15113.11</v>
      </c>
      <c r="E56" s="30">
        <f aca="true" t="shared" si="17" ref="E56:N56">SUM(E57:E58)</f>
        <v>26452.09</v>
      </c>
      <c r="F56" s="30">
        <f t="shared" si="17"/>
        <v>39663.829999999994</v>
      </c>
      <c r="G56" s="30">
        <f t="shared" si="17"/>
        <v>36860.28</v>
      </c>
      <c r="H56" s="30">
        <f t="shared" si="17"/>
        <v>29227.54</v>
      </c>
      <c r="I56" s="30">
        <f t="shared" si="17"/>
        <v>33707.99</v>
      </c>
      <c r="J56" s="30">
        <f t="shared" si="17"/>
        <v>37242.72</v>
      </c>
      <c r="K56" s="30">
        <f t="shared" si="17"/>
        <v>36993.509999999995</v>
      </c>
      <c r="L56" s="30">
        <f t="shared" si="17"/>
        <v>27508.109999999997</v>
      </c>
      <c r="M56" s="30">
        <f t="shared" si="17"/>
        <v>38419.67</v>
      </c>
      <c r="N56" s="30">
        <f t="shared" si="17"/>
        <v>31348.719999999998</v>
      </c>
      <c r="O56" s="30">
        <f>SUM(O57:O58)</f>
        <v>41252.619999999995</v>
      </c>
    </row>
    <row r="57" spans="1:15" ht="12.75">
      <c r="A57" s="35"/>
      <c r="B57" s="48" t="s">
        <v>14</v>
      </c>
      <c r="C57" s="30">
        <f t="shared" si="14"/>
        <v>361587.3700000001</v>
      </c>
      <c r="D57" s="10">
        <v>14316.12</v>
      </c>
      <c r="E57" s="10">
        <v>22609.75</v>
      </c>
      <c r="F57" s="10">
        <v>37836.95</v>
      </c>
      <c r="G57" s="10">
        <v>32826.04</v>
      </c>
      <c r="H57" s="10">
        <v>27048.02</v>
      </c>
      <c r="I57" s="10">
        <v>29068.85</v>
      </c>
      <c r="J57" s="10">
        <v>34352.38</v>
      </c>
      <c r="K57" s="10">
        <v>35680.88</v>
      </c>
      <c r="L57" s="10">
        <v>25116.51</v>
      </c>
      <c r="M57" s="10">
        <v>35938.31</v>
      </c>
      <c r="N57" s="10">
        <v>27402.03</v>
      </c>
      <c r="O57" s="10">
        <v>39391.53</v>
      </c>
    </row>
    <row r="58" spans="1:15" ht="12.75">
      <c r="A58" s="35"/>
      <c r="B58" s="48" t="s">
        <v>15</v>
      </c>
      <c r="C58" s="30">
        <f t="shared" si="14"/>
        <v>32202.82</v>
      </c>
      <c r="D58" s="10">
        <v>796.99</v>
      </c>
      <c r="E58" s="10">
        <v>3842.34</v>
      </c>
      <c r="F58" s="10">
        <v>1826.88</v>
      </c>
      <c r="G58" s="10">
        <v>4034.24</v>
      </c>
      <c r="H58" s="10">
        <v>2179.52</v>
      </c>
      <c r="I58" s="10">
        <v>4639.14</v>
      </c>
      <c r="J58" s="10">
        <v>2890.34</v>
      </c>
      <c r="K58" s="10">
        <v>1312.63</v>
      </c>
      <c r="L58" s="10">
        <v>2391.6</v>
      </c>
      <c r="M58" s="10">
        <v>2481.36</v>
      </c>
      <c r="N58" s="10">
        <v>3946.69</v>
      </c>
      <c r="O58" s="10">
        <v>1861.09</v>
      </c>
    </row>
    <row r="59" spans="1:15" s="25" customFormat="1" ht="12.75">
      <c r="A59" s="28">
        <v>5</v>
      </c>
      <c r="B59" s="49" t="s">
        <v>19</v>
      </c>
      <c r="C59" s="30">
        <f t="shared" si="14"/>
        <v>297824.47000000003</v>
      </c>
      <c r="D59" s="30">
        <f aca="true" t="shared" si="18" ref="D59:N59">SUM(D60:D61)</f>
        <v>13567.86</v>
      </c>
      <c r="E59" s="30">
        <f t="shared" si="18"/>
        <v>24464.06</v>
      </c>
      <c r="F59" s="30">
        <f t="shared" si="18"/>
        <v>36798.55</v>
      </c>
      <c r="G59" s="30">
        <f t="shared" si="18"/>
        <v>31031.63</v>
      </c>
      <c r="H59" s="30">
        <f t="shared" si="18"/>
        <v>25136.31</v>
      </c>
      <c r="I59" s="30">
        <f t="shared" si="18"/>
        <v>24547.52</v>
      </c>
      <c r="J59" s="30">
        <f t="shared" si="18"/>
        <v>28748.600000000002</v>
      </c>
      <c r="K59" s="30">
        <f t="shared" si="18"/>
        <v>20391.69</v>
      </c>
      <c r="L59" s="30">
        <f t="shared" si="18"/>
        <v>13655.41</v>
      </c>
      <c r="M59" s="30">
        <f t="shared" si="18"/>
        <v>22927.96</v>
      </c>
      <c r="N59" s="30">
        <f t="shared" si="18"/>
        <v>24574.86</v>
      </c>
      <c r="O59" s="30">
        <f>SUM(O60:O61)</f>
        <v>31980.02</v>
      </c>
    </row>
    <row r="60" spans="1:20" ht="12.75">
      <c r="A60" s="35"/>
      <c r="B60" s="48" t="s">
        <v>14</v>
      </c>
      <c r="C60" s="30">
        <f t="shared" si="14"/>
        <v>277704.57999999996</v>
      </c>
      <c r="D60" s="10">
        <v>13021.99</v>
      </c>
      <c r="E60" s="10">
        <v>22417.2</v>
      </c>
      <c r="F60" s="10">
        <v>35530.9</v>
      </c>
      <c r="G60" s="10">
        <v>28866.83</v>
      </c>
      <c r="H60" s="10">
        <v>23622.63</v>
      </c>
      <c r="I60" s="10">
        <v>21746.57</v>
      </c>
      <c r="J60" s="10">
        <v>26362.72</v>
      </c>
      <c r="K60" s="10">
        <v>19869.73</v>
      </c>
      <c r="L60" s="10">
        <v>12603.93</v>
      </c>
      <c r="M60" s="10">
        <v>22075.77</v>
      </c>
      <c r="N60" s="10">
        <v>21013.03</v>
      </c>
      <c r="O60" s="10">
        <v>30573.28</v>
      </c>
      <c r="T60" s="9"/>
    </row>
    <row r="61" spans="1:15" ht="12.75">
      <c r="A61" s="35"/>
      <c r="B61" s="48" t="s">
        <v>15</v>
      </c>
      <c r="C61" s="30">
        <f t="shared" si="14"/>
        <v>20119.890000000003</v>
      </c>
      <c r="D61" s="10">
        <v>545.87</v>
      </c>
      <c r="E61" s="10">
        <v>2046.86</v>
      </c>
      <c r="F61" s="10">
        <v>1267.65</v>
      </c>
      <c r="G61" s="10">
        <v>2164.8</v>
      </c>
      <c r="H61" s="10">
        <v>1513.68</v>
      </c>
      <c r="I61" s="10">
        <v>2800.95</v>
      </c>
      <c r="J61" s="10">
        <v>2385.88</v>
      </c>
      <c r="K61" s="10">
        <v>521.96</v>
      </c>
      <c r="L61" s="10">
        <v>1051.48</v>
      </c>
      <c r="M61" s="10">
        <v>852.19</v>
      </c>
      <c r="N61" s="10">
        <v>3561.83</v>
      </c>
      <c r="O61" s="10">
        <v>1406.74</v>
      </c>
    </row>
    <row r="62" spans="1:15" s="25" customFormat="1" ht="12.75">
      <c r="A62" s="28">
        <v>6</v>
      </c>
      <c r="B62" s="49" t="s">
        <v>20</v>
      </c>
      <c r="C62" s="30">
        <f t="shared" si="14"/>
        <v>551522.0499999999</v>
      </c>
      <c r="D62" s="30">
        <f aca="true" t="shared" si="19" ref="D62:N62">SUM(D63:D64)</f>
        <v>29419.039999999997</v>
      </c>
      <c r="E62" s="30">
        <f t="shared" si="19"/>
        <v>45944.44</v>
      </c>
      <c r="F62" s="30">
        <f t="shared" si="19"/>
        <v>68414.65</v>
      </c>
      <c r="G62" s="30">
        <f t="shared" si="19"/>
        <v>59501.07</v>
      </c>
      <c r="H62" s="30">
        <f t="shared" si="19"/>
        <v>48419.299999999996</v>
      </c>
      <c r="I62" s="30">
        <f t="shared" si="19"/>
        <v>53554.59</v>
      </c>
      <c r="J62" s="30">
        <f t="shared" si="19"/>
        <v>62837.33</v>
      </c>
      <c r="K62" s="30">
        <f t="shared" si="19"/>
        <v>35364.649999999994</v>
      </c>
      <c r="L62" s="30">
        <f t="shared" si="19"/>
        <v>21022.219999999998</v>
      </c>
      <c r="M62" s="30">
        <f t="shared" si="19"/>
        <v>30944.36</v>
      </c>
      <c r="N62" s="30">
        <f t="shared" si="19"/>
        <v>42476.77</v>
      </c>
      <c r="O62" s="30">
        <f>SUM(O63:O64)</f>
        <v>53623.630000000005</v>
      </c>
    </row>
    <row r="63" spans="1:15" ht="12.75">
      <c r="A63" s="35"/>
      <c r="B63" s="48" t="s">
        <v>14</v>
      </c>
      <c r="C63" s="30">
        <f t="shared" si="14"/>
        <v>511255.34</v>
      </c>
      <c r="D63" s="10">
        <v>28326.1</v>
      </c>
      <c r="E63" s="10">
        <v>41790.82</v>
      </c>
      <c r="F63" s="10">
        <v>65895.42</v>
      </c>
      <c r="G63" s="10">
        <v>55173.94</v>
      </c>
      <c r="H63" s="10">
        <v>45393.6</v>
      </c>
      <c r="I63" s="10">
        <v>47955.88</v>
      </c>
      <c r="J63" s="10">
        <v>58068.23</v>
      </c>
      <c r="K63" s="10">
        <v>34321.27</v>
      </c>
      <c r="L63" s="10">
        <v>18920.44</v>
      </c>
      <c r="M63" s="10">
        <v>29240.89</v>
      </c>
      <c r="N63" s="10">
        <v>35357.02</v>
      </c>
      <c r="O63" s="10">
        <v>50811.73</v>
      </c>
    </row>
    <row r="64" spans="1:15" ht="12.75">
      <c r="A64" s="35"/>
      <c r="B64" s="48" t="s">
        <v>15</v>
      </c>
      <c r="C64" s="30">
        <f t="shared" si="14"/>
        <v>40266.71</v>
      </c>
      <c r="D64" s="10">
        <v>1092.94</v>
      </c>
      <c r="E64" s="10">
        <v>4153.62</v>
      </c>
      <c r="F64" s="10">
        <v>2519.23</v>
      </c>
      <c r="G64" s="10">
        <v>4327.13</v>
      </c>
      <c r="H64" s="10">
        <v>3025.7</v>
      </c>
      <c r="I64" s="10">
        <v>5598.71</v>
      </c>
      <c r="J64" s="10">
        <v>4769.1</v>
      </c>
      <c r="K64" s="10">
        <v>1043.38</v>
      </c>
      <c r="L64" s="10">
        <v>2101.78</v>
      </c>
      <c r="M64" s="10">
        <v>1703.47</v>
      </c>
      <c r="N64" s="10">
        <v>7119.75</v>
      </c>
      <c r="O64" s="10">
        <v>2811.9</v>
      </c>
    </row>
    <row r="65" spans="1:15" s="25" customFormat="1" ht="12.75">
      <c r="A65" s="28">
        <v>7</v>
      </c>
      <c r="B65" s="49" t="s">
        <v>21</v>
      </c>
      <c r="C65" s="30">
        <f t="shared" si="14"/>
        <v>359051.19</v>
      </c>
      <c r="D65" s="30">
        <f>SUM(D66:D67)</f>
        <v>14770.539999999999</v>
      </c>
      <c r="E65" s="30">
        <f aca="true" t="shared" si="20" ref="E65:N65">SUM(E66:E67)</f>
        <v>26054.39</v>
      </c>
      <c r="F65" s="30">
        <f t="shared" si="20"/>
        <v>39413.39000000001</v>
      </c>
      <c r="G65" s="30">
        <f t="shared" si="20"/>
        <v>35328.74</v>
      </c>
      <c r="H65" s="30">
        <f t="shared" si="20"/>
        <v>28106.36</v>
      </c>
      <c r="I65" s="30">
        <f t="shared" si="20"/>
        <v>30104.46</v>
      </c>
      <c r="J65" s="30">
        <f t="shared" si="20"/>
        <v>34197.86</v>
      </c>
      <c r="K65" s="30">
        <f t="shared" si="20"/>
        <v>30050.920000000002</v>
      </c>
      <c r="L65" s="30">
        <f t="shared" si="20"/>
        <v>21234.58</v>
      </c>
      <c r="M65" s="30">
        <f t="shared" si="20"/>
        <v>31868.329999999998</v>
      </c>
      <c r="N65" s="30">
        <f t="shared" si="20"/>
        <v>29427.489999999998</v>
      </c>
      <c r="O65" s="30">
        <f>SUM(O66:O67)</f>
        <v>38494.130000000005</v>
      </c>
    </row>
    <row r="66" spans="1:15" ht="12.75">
      <c r="A66" s="35"/>
      <c r="B66" s="48" t="s">
        <v>14</v>
      </c>
      <c r="C66" s="30">
        <f t="shared" si="14"/>
        <v>331993.49</v>
      </c>
      <c r="D66" s="10">
        <v>14077.3</v>
      </c>
      <c r="E66" s="10">
        <v>23013.26</v>
      </c>
      <c r="F66" s="10">
        <v>37814.66</v>
      </c>
      <c r="G66" s="10">
        <v>32122.01</v>
      </c>
      <c r="H66" s="10">
        <v>26195.84</v>
      </c>
      <c r="I66" s="10">
        <v>26255.72</v>
      </c>
      <c r="J66" s="10">
        <v>31468.49</v>
      </c>
      <c r="K66" s="10">
        <v>29101.88</v>
      </c>
      <c r="L66" s="10">
        <v>19453.47</v>
      </c>
      <c r="M66" s="10">
        <v>30143.87</v>
      </c>
      <c r="N66" s="10">
        <v>25543.3</v>
      </c>
      <c r="O66" s="10">
        <v>36803.69</v>
      </c>
    </row>
    <row r="67" spans="1:15" ht="12.75">
      <c r="A67" s="35"/>
      <c r="B67" s="48" t="s">
        <v>15</v>
      </c>
      <c r="C67" s="30">
        <f t="shared" si="14"/>
        <v>27057.699999999997</v>
      </c>
      <c r="D67" s="10">
        <v>693.24</v>
      </c>
      <c r="E67" s="10">
        <v>3041.13</v>
      </c>
      <c r="F67" s="10">
        <v>1598.73</v>
      </c>
      <c r="G67" s="10">
        <v>3206.73</v>
      </c>
      <c r="H67" s="10">
        <v>1910.52</v>
      </c>
      <c r="I67" s="10">
        <v>3848.74</v>
      </c>
      <c r="J67" s="10">
        <v>2729.37</v>
      </c>
      <c r="K67" s="10">
        <v>949.04</v>
      </c>
      <c r="L67" s="10">
        <v>1781.11</v>
      </c>
      <c r="M67" s="10">
        <v>1724.46</v>
      </c>
      <c r="N67" s="10">
        <v>3884.19</v>
      </c>
      <c r="O67" s="10">
        <v>1690.44</v>
      </c>
    </row>
    <row r="68" spans="1:17" s="25" customFormat="1" ht="12.75">
      <c r="A68" s="28">
        <v>8</v>
      </c>
      <c r="B68" s="49" t="s">
        <v>22</v>
      </c>
      <c r="C68" s="30">
        <f t="shared" si="14"/>
        <v>2260135.2</v>
      </c>
      <c r="D68" s="30">
        <f aca="true" t="shared" si="21" ref="D68:N68">SUM(D69:D71)</f>
        <v>106230.62</v>
      </c>
      <c r="E68" s="30">
        <f t="shared" si="21"/>
        <v>166968.93</v>
      </c>
      <c r="F68" s="30">
        <f t="shared" si="21"/>
        <v>252471.58000000002</v>
      </c>
      <c r="G68" s="30">
        <f t="shared" si="21"/>
        <v>220926.75</v>
      </c>
      <c r="H68" s="30">
        <f t="shared" si="21"/>
        <v>221790.5</v>
      </c>
      <c r="I68" s="30">
        <f t="shared" si="21"/>
        <v>155690.88999999998</v>
      </c>
      <c r="J68" s="30">
        <f t="shared" si="21"/>
        <v>203312.80000000002</v>
      </c>
      <c r="K68" s="30">
        <f t="shared" si="21"/>
        <v>139171.01</v>
      </c>
      <c r="L68" s="30">
        <f t="shared" si="21"/>
        <v>178216.08000000002</v>
      </c>
      <c r="M68" s="30">
        <f t="shared" si="21"/>
        <v>198762.57</v>
      </c>
      <c r="N68" s="30">
        <f t="shared" si="21"/>
        <v>187123.69</v>
      </c>
      <c r="O68" s="30">
        <f>SUM(O69:O71)</f>
        <v>229469.78000000003</v>
      </c>
      <c r="P68" s="21"/>
      <c r="Q68" s="21"/>
    </row>
    <row r="69" spans="1:15" ht="12.75">
      <c r="A69" s="35"/>
      <c r="B69" s="48" t="s">
        <v>14</v>
      </c>
      <c r="C69" s="30">
        <f t="shared" si="14"/>
        <v>1087495.49</v>
      </c>
      <c r="D69" s="10">
        <v>52670.58</v>
      </c>
      <c r="E69" s="10">
        <v>80536.82</v>
      </c>
      <c r="F69" s="10">
        <v>132385.15</v>
      </c>
      <c r="G69" s="10">
        <v>105225.07</v>
      </c>
      <c r="H69" s="10">
        <v>86942.14</v>
      </c>
      <c r="I69" s="10">
        <v>75395.41</v>
      </c>
      <c r="J69" s="10">
        <v>98367.72</v>
      </c>
      <c r="K69" s="10">
        <v>86152.25</v>
      </c>
      <c r="L69" s="10">
        <v>65161.08</v>
      </c>
      <c r="M69" s="10">
        <v>99811.59</v>
      </c>
      <c r="N69" s="10">
        <v>77824.83</v>
      </c>
      <c r="O69" s="10">
        <v>127022.85</v>
      </c>
    </row>
    <row r="70" spans="1:15" ht="12.75">
      <c r="A70" s="35"/>
      <c r="B70" s="48" t="s">
        <v>15</v>
      </c>
      <c r="C70" s="30">
        <f t="shared" si="14"/>
        <v>1107055.68</v>
      </c>
      <c r="D70" s="10">
        <v>50294.75</v>
      </c>
      <c r="E70" s="10">
        <v>82517.53</v>
      </c>
      <c r="F70" s="10">
        <v>114533.74</v>
      </c>
      <c r="G70" s="10">
        <v>110881</v>
      </c>
      <c r="H70" s="10">
        <v>128800.45</v>
      </c>
      <c r="I70" s="10">
        <v>76059.95</v>
      </c>
      <c r="J70" s="10">
        <v>99026.99</v>
      </c>
      <c r="K70" s="10">
        <v>48508.58</v>
      </c>
      <c r="L70" s="10">
        <v>108229.43</v>
      </c>
      <c r="M70" s="10">
        <v>94491.74</v>
      </c>
      <c r="N70" s="10">
        <v>101951.91</v>
      </c>
      <c r="O70" s="10">
        <v>91759.61</v>
      </c>
    </row>
    <row r="71" spans="1:15" ht="12.75">
      <c r="A71" s="35"/>
      <c r="B71" s="48" t="s">
        <v>16</v>
      </c>
      <c r="C71" s="30">
        <f t="shared" si="14"/>
        <v>65584.03</v>
      </c>
      <c r="D71" s="10">
        <v>3265.29</v>
      </c>
      <c r="E71" s="10">
        <v>3914.58</v>
      </c>
      <c r="F71" s="10">
        <v>5552.69</v>
      </c>
      <c r="G71" s="10">
        <v>4820.68</v>
      </c>
      <c r="H71" s="10">
        <v>6047.91</v>
      </c>
      <c r="I71" s="10">
        <v>4235.53</v>
      </c>
      <c r="J71" s="10">
        <v>5918.09</v>
      </c>
      <c r="K71" s="10">
        <v>4510.18</v>
      </c>
      <c r="L71" s="10">
        <v>4825.57</v>
      </c>
      <c r="M71" s="10">
        <v>4459.24</v>
      </c>
      <c r="N71" s="10">
        <v>7346.95</v>
      </c>
      <c r="O71" s="10">
        <v>10687.32</v>
      </c>
    </row>
    <row r="72" spans="1:15" s="25" customFormat="1" ht="12.75">
      <c r="A72" s="28">
        <v>9</v>
      </c>
      <c r="B72" s="49" t="s">
        <v>60</v>
      </c>
      <c r="C72" s="30">
        <f t="shared" si="14"/>
        <v>192.1299999999992</v>
      </c>
      <c r="D72" s="30">
        <f aca="true" t="shared" si="22" ref="D72:O72">SUM(D73:D75)</f>
        <v>-158.61</v>
      </c>
      <c r="E72" s="30">
        <f t="shared" si="22"/>
        <v>3984.4899999999993</v>
      </c>
      <c r="F72" s="30">
        <f t="shared" si="22"/>
        <v>-3633.75</v>
      </c>
      <c r="G72" s="30">
        <f t="shared" si="22"/>
        <v>0</v>
      </c>
      <c r="H72" s="30">
        <f t="shared" si="22"/>
        <v>0</v>
      </c>
      <c r="I72" s="30">
        <f t="shared" si="22"/>
        <v>0</v>
      </c>
      <c r="J72" s="30">
        <f t="shared" si="22"/>
        <v>0</v>
      </c>
      <c r="K72" s="30">
        <f t="shared" si="22"/>
        <v>0</v>
      </c>
      <c r="L72" s="30">
        <f t="shared" si="22"/>
        <v>0</v>
      </c>
      <c r="M72" s="30">
        <f t="shared" si="22"/>
        <v>0</v>
      </c>
      <c r="N72" s="30">
        <f t="shared" si="22"/>
        <v>0</v>
      </c>
      <c r="O72" s="30">
        <f t="shared" si="22"/>
        <v>0</v>
      </c>
    </row>
    <row r="73" spans="1:15" ht="12.75">
      <c r="A73" s="35"/>
      <c r="B73" s="48" t="s">
        <v>14</v>
      </c>
      <c r="C73" s="30">
        <f t="shared" si="14"/>
        <v>-2715.19</v>
      </c>
      <c r="D73" s="10">
        <v>0</v>
      </c>
      <c r="E73" s="10">
        <v>918.56</v>
      </c>
      <c r="F73" s="10">
        <v>-3633.75</v>
      </c>
      <c r="G73" s="10"/>
      <c r="H73" s="10"/>
      <c r="I73" s="10"/>
      <c r="J73" s="10"/>
      <c r="K73" s="10"/>
      <c r="L73" s="10"/>
      <c r="M73" s="10"/>
      <c r="N73" s="10"/>
      <c r="O73" s="10"/>
    </row>
    <row r="74" spans="1:15" ht="12.75">
      <c r="A74" s="35"/>
      <c r="B74" s="48" t="s">
        <v>15</v>
      </c>
      <c r="C74" s="30">
        <f t="shared" si="14"/>
        <v>4084.49</v>
      </c>
      <c r="D74" s="10"/>
      <c r="E74" s="10">
        <v>4084.49</v>
      </c>
      <c r="F74" s="10"/>
      <c r="G74" s="10"/>
      <c r="H74" s="10"/>
      <c r="I74" s="10"/>
      <c r="J74" s="10"/>
      <c r="K74" s="10"/>
      <c r="L74" s="10"/>
      <c r="M74" s="10"/>
      <c r="N74" s="10"/>
      <c r="O74" s="10"/>
    </row>
    <row r="75" spans="1:15" ht="12.75">
      <c r="A75" s="35"/>
      <c r="B75" s="48" t="s">
        <v>16</v>
      </c>
      <c r="C75" s="30">
        <f t="shared" si="14"/>
        <v>-1177.17</v>
      </c>
      <c r="D75" s="10">
        <v>-158.61</v>
      </c>
      <c r="E75" s="10">
        <v>-1018.56</v>
      </c>
      <c r="F75" s="10"/>
      <c r="G75" s="10"/>
      <c r="H75" s="10"/>
      <c r="I75" s="10"/>
      <c r="J75" s="10"/>
      <c r="K75" s="10"/>
      <c r="L75" s="10"/>
      <c r="M75" s="10"/>
      <c r="N75" s="10"/>
      <c r="O75" s="10"/>
    </row>
    <row r="76" spans="1:15" s="25" customFormat="1" ht="12.75">
      <c r="A76" s="28">
        <v>10</v>
      </c>
      <c r="B76" s="49" t="s">
        <v>23</v>
      </c>
      <c r="C76" s="30">
        <f aca="true" t="shared" si="23" ref="C76:C81">SUM(D76:O76)</f>
        <v>29769.510000000002</v>
      </c>
      <c r="D76" s="30">
        <v>417.84</v>
      </c>
      <c r="E76" s="30">
        <v>-48.79</v>
      </c>
      <c r="F76" s="30">
        <v>2183.53</v>
      </c>
      <c r="G76" s="30">
        <v>4535.21</v>
      </c>
      <c r="H76" s="30">
        <v>1470.23</v>
      </c>
      <c r="I76" s="30">
        <v>6179.97</v>
      </c>
      <c r="J76" s="30">
        <v>3762.14</v>
      </c>
      <c r="K76" s="30">
        <v>2206.83</v>
      </c>
      <c r="L76" s="30">
        <v>1243.31</v>
      </c>
      <c r="M76" s="30">
        <v>3168.69</v>
      </c>
      <c r="N76" s="30">
        <v>1407.9</v>
      </c>
      <c r="O76" s="30">
        <v>3242.65</v>
      </c>
    </row>
    <row r="77" spans="1:15" s="25" customFormat="1" ht="12.75">
      <c r="A77" s="28">
        <v>11</v>
      </c>
      <c r="B77" s="49" t="s">
        <v>214</v>
      </c>
      <c r="C77" s="30">
        <f t="shared" si="23"/>
        <v>0</v>
      </c>
      <c r="D77" s="30">
        <f aca="true" t="shared" si="24" ref="D77:O77">SUM(D78:D79)</f>
        <v>0</v>
      </c>
      <c r="E77" s="30">
        <f t="shared" si="24"/>
        <v>0</v>
      </c>
      <c r="F77" s="30">
        <f t="shared" si="24"/>
        <v>0</v>
      </c>
      <c r="G77" s="30">
        <f t="shared" si="24"/>
        <v>0</v>
      </c>
      <c r="H77" s="30">
        <f>SUM(H78:H79)</f>
        <v>0</v>
      </c>
      <c r="I77" s="30">
        <f t="shared" si="24"/>
        <v>0</v>
      </c>
      <c r="J77" s="30">
        <f t="shared" si="24"/>
        <v>0</v>
      </c>
      <c r="K77" s="30">
        <f t="shared" si="24"/>
        <v>0</v>
      </c>
      <c r="L77" s="30">
        <f t="shared" si="24"/>
        <v>0</v>
      </c>
      <c r="M77" s="30">
        <f t="shared" si="24"/>
        <v>0</v>
      </c>
      <c r="N77" s="30">
        <f t="shared" si="24"/>
        <v>0</v>
      </c>
      <c r="O77" s="30">
        <f t="shared" si="24"/>
        <v>0</v>
      </c>
    </row>
    <row r="78" spans="1:15" ht="12.75">
      <c r="A78" s="35"/>
      <c r="B78" s="48" t="s">
        <v>14</v>
      </c>
      <c r="C78" s="10">
        <f t="shared" si="23"/>
        <v>0</v>
      </c>
      <c r="D78" s="10"/>
      <c r="E78" s="10"/>
      <c r="F78" s="10"/>
      <c r="G78" s="10"/>
      <c r="H78" s="10"/>
      <c r="I78" s="10"/>
      <c r="J78" s="10"/>
      <c r="K78" s="10"/>
      <c r="L78" s="10"/>
      <c r="M78" s="10"/>
      <c r="N78" s="10"/>
      <c r="O78" s="10"/>
    </row>
    <row r="79" spans="1:15" ht="12.75">
      <c r="A79" s="35"/>
      <c r="B79" s="48" t="s">
        <v>16</v>
      </c>
      <c r="C79" s="10">
        <f t="shared" si="23"/>
        <v>0</v>
      </c>
      <c r="D79" s="10"/>
      <c r="E79" s="10"/>
      <c r="F79" s="10"/>
      <c r="G79" s="10"/>
      <c r="H79" s="10"/>
      <c r="I79" s="10"/>
      <c r="J79" s="10"/>
      <c r="K79" s="10"/>
      <c r="L79" s="10"/>
      <c r="M79" s="10"/>
      <c r="N79" s="10"/>
      <c r="O79" s="10"/>
    </row>
    <row r="80" spans="1:15" s="25" customFormat="1" ht="25.5">
      <c r="A80" s="28">
        <v>12</v>
      </c>
      <c r="B80" s="29" t="s">
        <v>55</v>
      </c>
      <c r="C80" s="30">
        <f t="shared" si="23"/>
        <v>168000</v>
      </c>
      <c r="D80" s="30">
        <f>Провайдеры!D35</f>
        <v>16000</v>
      </c>
      <c r="E80" s="30">
        <f>Провайдеры!E35</f>
        <v>6500</v>
      </c>
      <c r="F80" s="30">
        <f>Провайдеры!F35</f>
        <v>8500</v>
      </c>
      <c r="G80" s="30">
        <f>Провайдеры!G35</f>
        <v>9500</v>
      </c>
      <c r="H80" s="30">
        <f>Провайдеры!H35</f>
        <v>19000</v>
      </c>
      <c r="I80" s="30">
        <f>Провайдеры!I35</f>
        <v>4000</v>
      </c>
      <c r="J80" s="30">
        <f>Провайдеры!J35</f>
        <v>21500</v>
      </c>
      <c r="K80" s="30">
        <f>Провайдеры!K35</f>
        <v>25000</v>
      </c>
      <c r="L80" s="30">
        <f>Провайдеры!L35</f>
        <v>12000</v>
      </c>
      <c r="M80" s="30">
        <f>Провайдеры!M35</f>
        <v>16000</v>
      </c>
      <c r="N80" s="30">
        <f>Провайдеры!N35</f>
        <v>4000</v>
      </c>
      <c r="O80" s="30">
        <f>Провайдеры!O35</f>
        <v>26000</v>
      </c>
    </row>
    <row r="81" spans="1:15" s="25" customFormat="1" ht="12.75">
      <c r="A81" s="28">
        <v>13</v>
      </c>
      <c r="B81" s="49" t="s">
        <v>213</v>
      </c>
      <c r="C81" s="30">
        <f t="shared" si="23"/>
        <v>9603.14</v>
      </c>
      <c r="D81" s="30">
        <f>2600-100</f>
        <v>2500</v>
      </c>
      <c r="E81" s="30"/>
      <c r="F81" s="30"/>
      <c r="G81" s="30"/>
      <c r="H81" s="30"/>
      <c r="I81" s="30">
        <f>4014.14+589</f>
        <v>4603.139999999999</v>
      </c>
      <c r="J81" s="30"/>
      <c r="K81" s="49"/>
      <c r="L81" s="49">
        <v>2500</v>
      </c>
      <c r="M81" s="49"/>
      <c r="N81" s="49"/>
      <c r="O81" s="49"/>
    </row>
    <row r="82" spans="1:15" s="25" customFormat="1" ht="12.75">
      <c r="A82" s="22">
        <v>14</v>
      </c>
      <c r="B82" s="23" t="s">
        <v>215</v>
      </c>
      <c r="C82" s="30">
        <f>SUM(D82:O82)</f>
        <v>2000</v>
      </c>
      <c r="D82" s="24"/>
      <c r="E82" s="24"/>
      <c r="F82" s="24"/>
      <c r="G82" s="24"/>
      <c r="H82" s="24"/>
      <c r="I82" s="24"/>
      <c r="J82" s="24"/>
      <c r="K82" s="30">
        <v>2000</v>
      </c>
      <c r="L82" s="30"/>
      <c r="M82" s="49"/>
      <c r="N82" s="49"/>
      <c r="O82" s="49"/>
    </row>
    <row r="83" spans="1:17" s="25" customFormat="1" ht="12.75">
      <c r="A83" s="22"/>
      <c r="B83" s="23" t="s">
        <v>133</v>
      </c>
      <c r="C83" s="24">
        <f>SUMIF($A$44:$A$82,"&lt;&gt;",C44:C82)</f>
        <v>9354014.260000002</v>
      </c>
      <c r="D83" s="24">
        <f aca="true" t="shared" si="25" ref="D83:J83">SUMIF($A$44:$A$82,"&lt;&gt;",D44:D82)</f>
        <v>492464.73</v>
      </c>
      <c r="E83" s="24">
        <f t="shared" si="25"/>
        <v>767300.01</v>
      </c>
      <c r="F83" s="24">
        <f t="shared" si="25"/>
        <v>1106479.6600000001</v>
      </c>
      <c r="G83" s="24">
        <f t="shared" si="25"/>
        <v>972472.69</v>
      </c>
      <c r="H83" s="24">
        <f t="shared" si="25"/>
        <v>836283.6799999999</v>
      </c>
      <c r="I83" s="24">
        <f t="shared" si="25"/>
        <v>710073.29</v>
      </c>
      <c r="J83" s="24">
        <f t="shared" si="25"/>
        <v>835298.25</v>
      </c>
      <c r="K83" s="24">
        <f>SUMIF($A$44:$A$82,"&lt;&gt;",K44:K82)</f>
        <v>679240.7499999999</v>
      </c>
      <c r="L83" s="24">
        <f>SUMIF($A$44:$A$82,"&lt;&gt;",L44:L82)</f>
        <v>574678.74</v>
      </c>
      <c r="M83" s="24">
        <f>SUMIF($A$44:$A$82,"&lt;&gt;",M44:M82)</f>
        <v>738026.08</v>
      </c>
      <c r="N83" s="24">
        <f>SUMIF($A$44:$A$82,"&lt;&gt;",N44:N82)</f>
        <v>666412.08</v>
      </c>
      <c r="O83" s="24">
        <f>SUMIF($A$44:$A$82,"&lt;&gt;",O44:O82)</f>
        <v>975284.3</v>
      </c>
      <c r="P83" s="21"/>
      <c r="Q83" s="21"/>
    </row>
    <row r="84" spans="1:15" s="25" customFormat="1" ht="12.75">
      <c r="A84" s="22"/>
      <c r="B84" s="79" t="s">
        <v>209</v>
      </c>
      <c r="C84" s="27"/>
      <c r="D84" s="80">
        <f>D85-D83</f>
        <v>0</v>
      </c>
      <c r="E84" s="80">
        <f>E85-E83</f>
        <v>0</v>
      </c>
      <c r="F84" s="80">
        <f>F85-F83</f>
        <v>0</v>
      </c>
      <c r="G84" s="80">
        <f>G85-G83</f>
        <v>0</v>
      </c>
      <c r="H84" s="80">
        <f>H85-H83</f>
        <v>0</v>
      </c>
      <c r="I84" s="80">
        <f aca="true" t="shared" si="26" ref="I84:O84">I85-I83</f>
        <v>0</v>
      </c>
      <c r="J84" s="80">
        <f t="shared" si="26"/>
        <v>0.08999999996740371</v>
      </c>
      <c r="K84" s="80">
        <f t="shared" si="26"/>
        <v>0</v>
      </c>
      <c r="L84" s="80">
        <f t="shared" si="26"/>
        <v>0</v>
      </c>
      <c r="M84" s="80">
        <f t="shared" si="26"/>
        <v>-236106.76999999996</v>
      </c>
      <c r="N84" s="80">
        <f t="shared" si="26"/>
        <v>236106.77000000002</v>
      </c>
      <c r="O84" s="80">
        <f t="shared" si="26"/>
        <v>0</v>
      </c>
    </row>
    <row r="85" spans="1:15" s="25" customFormat="1" ht="12.75">
      <c r="A85" s="22"/>
      <c r="B85" s="78" t="s">
        <v>211</v>
      </c>
      <c r="C85" s="9"/>
      <c r="D85" s="27">
        <v>492464.73</v>
      </c>
      <c r="E85" s="27">
        <v>767300.01</v>
      </c>
      <c r="F85" s="27">
        <v>1106479.66</v>
      </c>
      <c r="G85" s="27">
        <v>972472.69</v>
      </c>
      <c r="H85" s="27">
        <v>836283.68</v>
      </c>
      <c r="I85" s="27">
        <v>710073.29</v>
      </c>
      <c r="J85" s="27">
        <v>835298.34</v>
      </c>
      <c r="K85" s="27">
        <v>679240.75</v>
      </c>
      <c r="L85" s="27">
        <v>574678.74</v>
      </c>
      <c r="M85" s="27">
        <v>501919.31</v>
      </c>
      <c r="N85" s="27">
        <f>866853.62+35665.23</f>
        <v>902518.85</v>
      </c>
      <c r="O85" s="27">
        <f>1010900.66-35665.23+48.87</f>
        <v>975284.3</v>
      </c>
    </row>
    <row r="86" spans="8:15" ht="12.75">
      <c r="H86" s="9"/>
      <c r="M86" s="9"/>
      <c r="N86" s="9"/>
      <c r="O86" s="9"/>
    </row>
    <row r="87" spans="1:15" ht="25.5">
      <c r="A87" s="32" t="s">
        <v>0</v>
      </c>
      <c r="B87" s="50" t="s">
        <v>25</v>
      </c>
      <c r="C87" s="28" t="s">
        <v>1</v>
      </c>
      <c r="D87" s="28" t="s">
        <v>2</v>
      </c>
      <c r="E87" s="28" t="s">
        <v>3</v>
      </c>
      <c r="F87" s="28" t="s">
        <v>4</v>
      </c>
      <c r="G87" s="28" t="s">
        <v>5</v>
      </c>
      <c r="H87" s="28" t="s">
        <v>6</v>
      </c>
      <c r="I87" s="28" t="s">
        <v>7</v>
      </c>
      <c r="J87" s="28" t="s">
        <v>8</v>
      </c>
      <c r="K87" s="28" t="s">
        <v>9</v>
      </c>
      <c r="L87" s="28" t="s">
        <v>10</v>
      </c>
      <c r="M87" s="28" t="s">
        <v>11</v>
      </c>
      <c r="N87" s="28" t="s">
        <v>12</v>
      </c>
      <c r="O87" s="28" t="s">
        <v>13</v>
      </c>
    </row>
    <row r="88" spans="1:15" s="25" customFormat="1" ht="25.5">
      <c r="A88" s="28">
        <v>1</v>
      </c>
      <c r="B88" s="29" t="s">
        <v>57</v>
      </c>
      <c r="C88" s="30">
        <f>SUM(D88:O88)</f>
        <v>1740661.1400000001</v>
      </c>
      <c r="D88" s="30">
        <f>SUM(D89:D95)</f>
        <v>139685.74</v>
      </c>
      <c r="E88" s="30">
        <f>SUM(E89:E95)</f>
        <v>142043.15</v>
      </c>
      <c r="F88" s="30">
        <f>SUM(F89:F95)</f>
        <v>129645.26999999999</v>
      </c>
      <c r="G88" s="30">
        <f>SUM(G89:G95)</f>
        <v>169635.86999999997</v>
      </c>
      <c r="H88" s="30">
        <f>SUM(H89:H95)</f>
        <v>141125.51</v>
      </c>
      <c r="I88" s="30">
        <f aca="true" t="shared" si="27" ref="I88:O88">SUM(I89:I95)</f>
        <v>147972.19999999998</v>
      </c>
      <c r="J88" s="30">
        <f>SUM(J89:J95)</f>
        <v>144364.77</v>
      </c>
      <c r="K88" s="30">
        <f t="shared" si="27"/>
        <v>135021.36</v>
      </c>
      <c r="L88" s="30">
        <f t="shared" si="27"/>
        <v>133008.03</v>
      </c>
      <c r="M88" s="30">
        <f t="shared" si="27"/>
        <v>149988.21</v>
      </c>
      <c r="N88" s="30">
        <f>SUM(N89:N95)</f>
        <v>145553.1</v>
      </c>
      <c r="O88" s="30">
        <f t="shared" si="27"/>
        <v>162617.93</v>
      </c>
    </row>
    <row r="89" spans="1:15" ht="12.75">
      <c r="A89" s="35"/>
      <c r="B89" s="51" t="s">
        <v>26</v>
      </c>
      <c r="C89" s="10">
        <f aca="true" t="shared" si="28" ref="C89:C203">SUM(D89:O89)</f>
        <v>160215.6</v>
      </c>
      <c r="D89" s="10">
        <v>13351.24</v>
      </c>
      <c r="E89" s="10">
        <v>13351.24</v>
      </c>
      <c r="F89" s="10">
        <v>13351.24</v>
      </c>
      <c r="G89" s="10">
        <v>13351.24</v>
      </c>
      <c r="H89" s="10">
        <v>13351.24</v>
      </c>
      <c r="I89" s="10">
        <v>13351.24</v>
      </c>
      <c r="J89" s="10">
        <v>13351.24</v>
      </c>
      <c r="K89" s="10">
        <v>13351.24</v>
      </c>
      <c r="L89" s="10">
        <v>13351.24</v>
      </c>
      <c r="M89" s="10">
        <v>13351.24</v>
      </c>
      <c r="N89" s="10">
        <v>13351.24</v>
      </c>
      <c r="O89" s="153">
        <v>13351.96</v>
      </c>
    </row>
    <row r="90" spans="1:15" ht="12.75">
      <c r="A90" s="35"/>
      <c r="B90" s="51" t="s">
        <v>185</v>
      </c>
      <c r="C90" s="10">
        <f t="shared" si="28"/>
        <v>360278.86000000004</v>
      </c>
      <c r="D90" s="10">
        <v>29896.78</v>
      </c>
      <c r="E90" s="10">
        <f>23690+4264.2+734.39+473.8+687.01+47.38</f>
        <v>29896.78</v>
      </c>
      <c r="F90" s="10">
        <v>29896.78</v>
      </c>
      <c r="G90" s="10">
        <v>29896.78</v>
      </c>
      <c r="H90" s="10">
        <f>22747.2+5959.77</f>
        <v>28706.97</v>
      </c>
      <c r="I90" s="10">
        <v>29896.78</v>
      </c>
      <c r="J90" s="10">
        <v>29896.78</v>
      </c>
      <c r="K90" s="10">
        <f>25606.24+6708.83</f>
        <v>32315.07</v>
      </c>
      <c r="L90" s="10">
        <v>29896.78</v>
      </c>
      <c r="M90" s="10">
        <v>29896.78</v>
      </c>
      <c r="N90" s="10">
        <f>21620+3891.6+670.22+432.4+626.98+43.24</f>
        <v>27284.440000000002</v>
      </c>
      <c r="O90" s="153">
        <f>25989+6809.14</f>
        <v>32798.14</v>
      </c>
    </row>
    <row r="91" spans="1:15" ht="12.75">
      <c r="A91" s="35"/>
      <c r="B91" s="51" t="s">
        <v>243</v>
      </c>
      <c r="C91" s="10">
        <f t="shared" si="28"/>
        <v>217571.43999999992</v>
      </c>
      <c r="D91" s="10">
        <v>17922.92</v>
      </c>
      <c r="E91" s="10">
        <f>14202+1704.24+852.12+440.26+284.04+411.86+28.4</f>
        <v>17922.920000000002</v>
      </c>
      <c r="F91" s="10">
        <v>17922.92</v>
      </c>
      <c r="G91" s="10">
        <v>17922.92</v>
      </c>
      <c r="H91" s="10">
        <v>17922.92</v>
      </c>
      <c r="I91" s="10">
        <v>17922.92</v>
      </c>
      <c r="J91" s="10">
        <v>17922.92</v>
      </c>
      <c r="K91" s="10">
        <f>13881.12+3636.85</f>
        <v>17517.97</v>
      </c>
      <c r="L91" s="10">
        <v>17922.92</v>
      </c>
      <c r="M91" s="10">
        <v>17922.92</v>
      </c>
      <c r="N91" s="10">
        <v>17922.92</v>
      </c>
      <c r="O91" s="153">
        <v>20824.27</v>
      </c>
    </row>
    <row r="92" spans="1:15" ht="12.75">
      <c r="A92" s="35"/>
      <c r="B92" s="51" t="s">
        <v>27</v>
      </c>
      <c r="C92" s="10">
        <f t="shared" si="28"/>
        <v>421037.11000000004</v>
      </c>
      <c r="D92" s="10">
        <v>36791.1</v>
      </c>
      <c r="E92" s="10">
        <v>36971.1</v>
      </c>
      <c r="F92" s="10">
        <f>19406+2328.72+1164.36+601.58+388.12+562.78+1903+342.54+58.99+38.06+55.19+4262</f>
        <v>31111.340000000004</v>
      </c>
      <c r="G92" s="10">
        <f>23896.1+27192.63+1903+13883.83+7.74</f>
        <v>66883.3</v>
      </c>
      <c r="H92" s="10">
        <f>27540.63+7215.65</f>
        <v>34756.28</v>
      </c>
      <c r="I92" s="10">
        <f>27541.63+7215.91+0.73</f>
        <v>34758.270000000004</v>
      </c>
      <c r="J92" s="10">
        <f>24638.63+6455.32+323.86</f>
        <v>31417.81</v>
      </c>
      <c r="K92" s="10">
        <f>15638.63+4097.32+325.11</f>
        <v>20061.059999999998</v>
      </c>
      <c r="L92" s="10">
        <f>15638.63+4097.32+325.12</f>
        <v>20061.069999999996</v>
      </c>
      <c r="M92" s="10">
        <v>37041.25</v>
      </c>
      <c r="N92" s="10">
        <f>19735.95+12045.33+3106.85+5.96</f>
        <v>34894.09</v>
      </c>
      <c r="O92" s="153">
        <f>16554.48+17334.37+2401.59</f>
        <v>36290.44</v>
      </c>
    </row>
    <row r="93" spans="1:15" ht="12.75">
      <c r="A93" s="35"/>
      <c r="B93" s="51" t="s">
        <v>179</v>
      </c>
      <c r="C93" s="10">
        <f t="shared" si="28"/>
        <v>104493.60000000002</v>
      </c>
      <c r="D93" s="10">
        <v>8707.8</v>
      </c>
      <c r="E93" s="10">
        <f>2300+2300+2300+13.8+414+71.3+46+66.7+276+138+71.3+46+66.7+414+71.3+46+66.7</f>
        <v>8707.8</v>
      </c>
      <c r="F93" s="10">
        <v>8707.8</v>
      </c>
      <c r="G93" s="10">
        <v>8707.8</v>
      </c>
      <c r="H93" s="10">
        <v>8707.8</v>
      </c>
      <c r="I93" s="10">
        <v>8707.8</v>
      </c>
      <c r="J93" s="10">
        <v>8707.8</v>
      </c>
      <c r="K93" s="10">
        <v>8707.8</v>
      </c>
      <c r="L93" s="10">
        <v>8707.8</v>
      </c>
      <c r="M93" s="10">
        <v>8707.8</v>
      </c>
      <c r="N93" s="10">
        <v>8707.8</v>
      </c>
      <c r="O93" s="153">
        <v>8707.8</v>
      </c>
    </row>
    <row r="94" spans="1:15" ht="12.75">
      <c r="A94" s="35"/>
      <c r="B94" s="51" t="s">
        <v>242</v>
      </c>
      <c r="C94" s="10">
        <f t="shared" si="28"/>
        <v>364781.47</v>
      </c>
      <c r="D94" s="10">
        <f>30185.78+0.72</f>
        <v>30186.5</v>
      </c>
      <c r="E94" s="10">
        <f>1868+336.24+21.73+23919+2870.28+1435.14+741.49+478.38+693.65</f>
        <v>32363.910000000003</v>
      </c>
      <c r="F94" s="10">
        <v>25825.79</v>
      </c>
      <c r="G94" s="10">
        <v>30044.43</v>
      </c>
      <c r="H94" s="10">
        <f>24364.08+6383.39-47.29</f>
        <v>30700.18</v>
      </c>
      <c r="I94" s="10">
        <f aca="true" t="shared" si="29" ref="I94:N94">23920+6267.04</f>
        <v>30187.04</v>
      </c>
      <c r="J94" s="10">
        <f t="shared" si="29"/>
        <v>30187.04</v>
      </c>
      <c r="K94" s="10">
        <f t="shared" si="29"/>
        <v>30187.04</v>
      </c>
      <c r="L94" s="10">
        <f t="shared" si="29"/>
        <v>30187.04</v>
      </c>
      <c r="M94" s="10">
        <f t="shared" si="29"/>
        <v>30187.04</v>
      </c>
      <c r="N94" s="10">
        <f t="shared" si="29"/>
        <v>30187.04</v>
      </c>
      <c r="O94" s="153">
        <f>4887+1280.4+28371.02</f>
        <v>34538.42</v>
      </c>
    </row>
    <row r="95" spans="1:15" ht="12.75">
      <c r="A95" s="35"/>
      <c r="B95" s="51" t="s">
        <v>382</v>
      </c>
      <c r="C95" s="10">
        <f t="shared" si="28"/>
        <v>112283.06</v>
      </c>
      <c r="D95" s="10">
        <v>2829.4</v>
      </c>
      <c r="E95" s="10">
        <f>2242+4.48+269.04+134.52+69.5+44.84+65.02</f>
        <v>2829.4</v>
      </c>
      <c r="F95" s="10">
        <f>2242+4.48+269.04+134.52+69.5+44.84+65.02</f>
        <v>2829.4</v>
      </c>
      <c r="G95" s="10">
        <f>2242+4.48+269.04+134.52+69.5+44.84+65.02</f>
        <v>2829.4</v>
      </c>
      <c r="H95" s="10">
        <f>5531+1449.12</f>
        <v>6980.12</v>
      </c>
      <c r="I95" s="10">
        <f>10418.5+2729.65</f>
        <v>13148.15</v>
      </c>
      <c r="J95" s="10">
        <f>10464+2417.18</f>
        <v>12881.18</v>
      </c>
      <c r="K95" s="10">
        <f>10464+2417.18</f>
        <v>12881.18</v>
      </c>
      <c r="L95" s="10">
        <f>10464+2417.18</f>
        <v>12881.18</v>
      </c>
      <c r="M95" s="10">
        <f>10464+2417.18</f>
        <v>12881.18</v>
      </c>
      <c r="N95" s="10">
        <v>13205.57</v>
      </c>
      <c r="O95" s="153">
        <f>11826.2+4280.7</f>
        <v>16106.900000000001</v>
      </c>
    </row>
    <row r="96" spans="1:15" s="25" customFormat="1" ht="12.75">
      <c r="A96" s="28">
        <v>2</v>
      </c>
      <c r="B96" s="29" t="s">
        <v>180</v>
      </c>
      <c r="C96" s="30">
        <f t="shared" si="28"/>
        <v>707.83</v>
      </c>
      <c r="D96" s="30">
        <f>D98</f>
        <v>0</v>
      </c>
      <c r="E96" s="30">
        <f>E97+E98</f>
        <v>0</v>
      </c>
      <c r="F96" s="30">
        <f aca="true" t="shared" si="30" ref="F96:O96">F97+F98</f>
        <v>0</v>
      </c>
      <c r="G96" s="30">
        <f t="shared" si="30"/>
        <v>707.83</v>
      </c>
      <c r="H96" s="30">
        <f t="shared" si="30"/>
        <v>0</v>
      </c>
      <c r="I96" s="30">
        <f t="shared" si="30"/>
        <v>0</v>
      </c>
      <c r="J96" s="30">
        <f t="shared" si="30"/>
        <v>0</v>
      </c>
      <c r="K96" s="30">
        <f t="shared" si="30"/>
        <v>0</v>
      </c>
      <c r="L96" s="30">
        <f t="shared" si="30"/>
        <v>0</v>
      </c>
      <c r="M96" s="30">
        <f t="shared" si="30"/>
        <v>0</v>
      </c>
      <c r="N96" s="30">
        <f t="shared" si="30"/>
        <v>0</v>
      </c>
      <c r="O96" s="30">
        <f t="shared" si="30"/>
        <v>0</v>
      </c>
    </row>
    <row r="97" spans="1:15" s="25" customFormat="1" ht="38.25">
      <c r="A97" s="28"/>
      <c r="B97" s="51" t="s">
        <v>251</v>
      </c>
      <c r="C97" s="10">
        <f t="shared" si="28"/>
        <v>707.83</v>
      </c>
      <c r="D97" s="30"/>
      <c r="E97" s="30"/>
      <c r="F97" s="30"/>
      <c r="G97" s="10">
        <f>575+103.5+17.83+11.5</f>
        <v>707.83</v>
      </c>
      <c r="H97" s="30"/>
      <c r="I97" s="30"/>
      <c r="J97" s="30"/>
      <c r="K97" s="30"/>
      <c r="L97" s="30"/>
      <c r="M97" s="30"/>
      <c r="N97" s="30"/>
      <c r="O97" s="30"/>
    </row>
    <row r="98" spans="1:15" ht="38.25">
      <c r="A98" s="35"/>
      <c r="B98" s="51" t="s">
        <v>181</v>
      </c>
      <c r="C98" s="10">
        <f t="shared" si="28"/>
        <v>0</v>
      </c>
      <c r="D98" s="10"/>
      <c r="E98" s="10"/>
      <c r="F98" s="10"/>
      <c r="G98" s="10"/>
      <c r="H98" s="10"/>
      <c r="I98" s="10"/>
      <c r="J98" s="10"/>
      <c r="K98" s="10"/>
      <c r="L98" s="10"/>
      <c r="M98" s="10"/>
      <c r="N98" s="10"/>
      <c r="O98" s="10"/>
    </row>
    <row r="99" spans="1:15" s="25" customFormat="1" ht="12.75">
      <c r="A99" s="28">
        <v>3</v>
      </c>
      <c r="B99" s="29" t="s">
        <v>182</v>
      </c>
      <c r="C99" s="30">
        <f>SUM(D99:O99)</f>
        <v>89849.48</v>
      </c>
      <c r="D99" s="30">
        <f>D102+D100+D101+D103+D104+D105+D106+D107+D108+D109</f>
        <v>0</v>
      </c>
      <c r="E99" s="30">
        <f aca="true" t="shared" si="31" ref="E99:O99">E102+E100+E101+E103+E104+E105+E106+E107+E108+E109</f>
        <v>0</v>
      </c>
      <c r="F99" s="30">
        <f t="shared" si="31"/>
        <v>4244.49</v>
      </c>
      <c r="G99" s="30">
        <f t="shared" si="31"/>
        <v>9198.029999999999</v>
      </c>
      <c r="H99" s="30">
        <f t="shared" si="31"/>
        <v>9904.630000000001</v>
      </c>
      <c r="I99" s="30">
        <f t="shared" si="31"/>
        <v>0</v>
      </c>
      <c r="J99" s="30">
        <f t="shared" si="31"/>
        <v>5660.14</v>
      </c>
      <c r="K99" s="30">
        <f t="shared" si="31"/>
        <v>9904.630000000001</v>
      </c>
      <c r="L99" s="30">
        <f t="shared" si="31"/>
        <v>8490.21</v>
      </c>
      <c r="M99" s="30">
        <f t="shared" si="31"/>
        <v>12734.7</v>
      </c>
      <c r="N99" s="30">
        <f t="shared" si="31"/>
        <v>15563.53</v>
      </c>
      <c r="O99" s="30">
        <f t="shared" si="31"/>
        <v>14149.119999999999</v>
      </c>
    </row>
    <row r="100" spans="1:15" ht="102">
      <c r="A100" s="35"/>
      <c r="B100" s="51" t="s">
        <v>248</v>
      </c>
      <c r="C100" s="10">
        <f t="shared" si="28"/>
        <v>4244.49</v>
      </c>
      <c r="D100" s="10"/>
      <c r="E100" s="10"/>
      <c r="F100" s="10">
        <v>4244.49</v>
      </c>
      <c r="G100" s="10"/>
      <c r="H100" s="10"/>
      <c r="I100" s="10"/>
      <c r="J100" s="10"/>
      <c r="K100" s="10"/>
      <c r="L100" s="10"/>
      <c r="M100" s="10"/>
      <c r="N100" s="10"/>
      <c r="O100" s="10"/>
    </row>
    <row r="101" spans="1:15" ht="78" customHeight="1">
      <c r="A101" s="35"/>
      <c r="B101" s="51" t="s">
        <v>262</v>
      </c>
      <c r="C101" s="10">
        <f t="shared" si="28"/>
        <v>6366.73</v>
      </c>
      <c r="D101" s="10"/>
      <c r="E101" s="10"/>
      <c r="F101" s="10"/>
      <c r="G101" s="10">
        <f>5172+1194.73</f>
        <v>6366.73</v>
      </c>
      <c r="H101" s="10"/>
      <c r="I101" s="10"/>
      <c r="J101" s="10"/>
      <c r="K101" s="10"/>
      <c r="L101" s="10"/>
      <c r="M101" s="10"/>
      <c r="N101" s="10"/>
      <c r="O101" s="10"/>
    </row>
    <row r="102" spans="1:15" ht="38.25">
      <c r="A102" s="35"/>
      <c r="B102" s="51" t="s">
        <v>299</v>
      </c>
      <c r="C102" s="10">
        <f t="shared" si="28"/>
        <v>2831.3</v>
      </c>
      <c r="D102" s="10"/>
      <c r="E102" s="10"/>
      <c r="F102" s="10"/>
      <c r="G102" s="10">
        <f>2299+531.07+1.23</f>
        <v>2831.3</v>
      </c>
      <c r="H102" s="10"/>
      <c r="I102" s="10"/>
      <c r="J102" s="10"/>
      <c r="K102" s="10"/>
      <c r="L102" s="10"/>
      <c r="M102" s="10"/>
      <c r="N102" s="10"/>
      <c r="O102" s="10"/>
    </row>
    <row r="103" spans="1:15" ht="63.75">
      <c r="A103" s="35"/>
      <c r="B103" s="51" t="s">
        <v>252</v>
      </c>
      <c r="C103" s="10">
        <f t="shared" si="28"/>
        <v>9904.630000000001</v>
      </c>
      <c r="D103" s="10"/>
      <c r="E103" s="10"/>
      <c r="F103" s="10"/>
      <c r="G103" s="10"/>
      <c r="H103" s="10">
        <f>8046+1858.63</f>
        <v>9904.630000000001</v>
      </c>
      <c r="I103" s="10"/>
      <c r="J103" s="10"/>
      <c r="K103" s="10"/>
      <c r="L103" s="10"/>
      <c r="M103" s="10"/>
      <c r="N103" s="10"/>
      <c r="O103" s="10"/>
    </row>
    <row r="104" spans="1:15" ht="51">
      <c r="A104" s="35"/>
      <c r="B104" s="51" t="s">
        <v>263</v>
      </c>
      <c r="C104" s="10">
        <f t="shared" si="28"/>
        <v>5660.14</v>
      </c>
      <c r="D104" s="10"/>
      <c r="E104" s="10"/>
      <c r="F104" s="10"/>
      <c r="G104" s="10"/>
      <c r="H104" s="10"/>
      <c r="I104" s="10"/>
      <c r="J104" s="10">
        <f>4598+1062.14</f>
        <v>5660.14</v>
      </c>
      <c r="K104" s="10"/>
      <c r="L104" s="10"/>
      <c r="M104" s="10"/>
      <c r="N104" s="10"/>
      <c r="O104" s="10"/>
    </row>
    <row r="105" spans="1:15" ht="51">
      <c r="A105" s="35"/>
      <c r="B105" s="51" t="s">
        <v>266</v>
      </c>
      <c r="C105" s="10">
        <f t="shared" si="28"/>
        <v>9904.630000000001</v>
      </c>
      <c r="D105" s="10"/>
      <c r="E105" s="10"/>
      <c r="F105" s="10"/>
      <c r="G105" s="10"/>
      <c r="H105" s="10"/>
      <c r="I105" s="10"/>
      <c r="J105" s="10"/>
      <c r="K105" s="10">
        <f>8046+1858.63</f>
        <v>9904.630000000001</v>
      </c>
      <c r="L105" s="10"/>
      <c r="M105" s="10"/>
      <c r="N105" s="10"/>
      <c r="O105" s="10"/>
    </row>
    <row r="106" spans="1:15" ht="51">
      <c r="A106" s="35"/>
      <c r="B106" s="51" t="s">
        <v>267</v>
      </c>
      <c r="C106" s="10">
        <f t="shared" si="28"/>
        <v>8490.21</v>
      </c>
      <c r="D106" s="10"/>
      <c r="E106" s="10"/>
      <c r="F106" s="10"/>
      <c r="G106" s="10"/>
      <c r="H106" s="10"/>
      <c r="I106" s="10"/>
      <c r="J106" s="10"/>
      <c r="K106" s="10"/>
      <c r="L106" s="10">
        <f>6897+1593.21</f>
        <v>8490.21</v>
      </c>
      <c r="M106" s="10"/>
      <c r="N106" s="10"/>
      <c r="O106" s="10"/>
    </row>
    <row r="107" spans="1:15" ht="76.5">
      <c r="A107" s="35"/>
      <c r="B107" s="51" t="s">
        <v>354</v>
      </c>
      <c r="C107" s="10">
        <f t="shared" si="28"/>
        <v>12734.7</v>
      </c>
      <c r="D107" s="10"/>
      <c r="E107" s="10"/>
      <c r="F107" s="10"/>
      <c r="G107" s="10"/>
      <c r="H107" s="10"/>
      <c r="I107" s="10"/>
      <c r="J107" s="10"/>
      <c r="K107" s="10"/>
      <c r="L107" s="10"/>
      <c r="M107" s="10">
        <f>10345+2389.7</f>
        <v>12734.7</v>
      </c>
      <c r="N107" s="10"/>
      <c r="O107" s="10"/>
    </row>
    <row r="108" spans="1:15" ht="76.5">
      <c r="A108" s="35"/>
      <c r="B108" s="51" t="s">
        <v>303</v>
      </c>
      <c r="C108" s="10">
        <f t="shared" si="28"/>
        <v>15563.53</v>
      </c>
      <c r="D108" s="10"/>
      <c r="E108" s="10"/>
      <c r="F108" s="10"/>
      <c r="G108" s="10"/>
      <c r="H108" s="10"/>
      <c r="I108" s="10"/>
      <c r="J108" s="10"/>
      <c r="K108" s="10"/>
      <c r="L108" s="10"/>
      <c r="M108" s="10"/>
      <c r="N108" s="10">
        <f>12643+2275.74+391.93+252.86</f>
        <v>15563.53</v>
      </c>
      <c r="O108" s="10"/>
    </row>
    <row r="109" spans="1:15" ht="51">
      <c r="A109" s="35"/>
      <c r="B109" s="51" t="s">
        <v>417</v>
      </c>
      <c r="C109" s="10">
        <f t="shared" si="28"/>
        <v>14149.119999999999</v>
      </c>
      <c r="D109" s="10"/>
      <c r="E109" s="10"/>
      <c r="F109" s="10"/>
      <c r="G109" s="10"/>
      <c r="H109" s="10"/>
      <c r="I109" s="10"/>
      <c r="J109" s="10"/>
      <c r="K109" s="10"/>
      <c r="L109" s="10"/>
      <c r="M109" s="10"/>
      <c r="N109" s="10"/>
      <c r="O109" s="10">
        <f>11494+2068.92+356.32+229.88</f>
        <v>14149.119999999999</v>
      </c>
    </row>
    <row r="110" spans="1:15" s="25" customFormat="1" ht="12.75">
      <c r="A110" s="28">
        <v>4</v>
      </c>
      <c r="B110" s="29" t="s">
        <v>207</v>
      </c>
      <c r="C110" s="30">
        <f aca="true" t="shared" si="32" ref="C110:C140">SUM(D110:O110)</f>
        <v>17715.32</v>
      </c>
      <c r="D110" s="30">
        <f>D113+D111+D112</f>
        <v>0</v>
      </c>
      <c r="E110" s="30">
        <f aca="true" t="shared" si="33" ref="E110:O110">E113+E111+E112</f>
        <v>0</v>
      </c>
      <c r="F110" s="30">
        <f t="shared" si="33"/>
        <v>0</v>
      </c>
      <c r="G110" s="30">
        <f t="shared" si="33"/>
        <v>0</v>
      </c>
      <c r="H110" s="30">
        <f t="shared" si="33"/>
        <v>0</v>
      </c>
      <c r="I110" s="30">
        <f t="shared" si="33"/>
        <v>9196.8</v>
      </c>
      <c r="J110" s="30">
        <f t="shared" si="33"/>
        <v>7074.5599999999995</v>
      </c>
      <c r="K110" s="30">
        <f t="shared" si="33"/>
        <v>0</v>
      </c>
      <c r="L110" s="30">
        <f t="shared" si="33"/>
        <v>0</v>
      </c>
      <c r="M110" s="30">
        <f t="shared" si="33"/>
        <v>0</v>
      </c>
      <c r="N110" s="30">
        <f t="shared" si="33"/>
        <v>1443.9599999999998</v>
      </c>
      <c r="O110" s="30">
        <f t="shared" si="33"/>
        <v>0</v>
      </c>
    </row>
    <row r="111" spans="1:15" s="25" customFormat="1" ht="25.5">
      <c r="A111" s="28"/>
      <c r="B111" s="51" t="s">
        <v>257</v>
      </c>
      <c r="C111" s="10">
        <f t="shared" si="32"/>
        <v>9196.8</v>
      </c>
      <c r="D111" s="10"/>
      <c r="E111" s="10"/>
      <c r="F111" s="10"/>
      <c r="G111" s="10"/>
      <c r="H111" s="10"/>
      <c r="I111" s="10">
        <f>7471+1725.8</f>
        <v>9196.8</v>
      </c>
      <c r="J111" s="30"/>
      <c r="K111" s="30"/>
      <c r="L111" s="30"/>
      <c r="M111" s="30"/>
      <c r="N111" s="30"/>
      <c r="O111" s="30"/>
    </row>
    <row r="112" spans="1:15" s="25" customFormat="1" ht="25.5">
      <c r="A112" s="28"/>
      <c r="B112" s="51" t="s">
        <v>261</v>
      </c>
      <c r="C112" s="10">
        <f t="shared" si="32"/>
        <v>7074.5599999999995</v>
      </c>
      <c r="D112" s="10"/>
      <c r="E112" s="10"/>
      <c r="F112" s="10"/>
      <c r="G112" s="10"/>
      <c r="H112" s="10"/>
      <c r="I112" s="10"/>
      <c r="J112" s="10">
        <f>5747+1327.56</f>
        <v>7074.5599999999995</v>
      </c>
      <c r="K112" s="30"/>
      <c r="L112" s="30"/>
      <c r="M112" s="30"/>
      <c r="N112" s="30"/>
      <c r="O112" s="30"/>
    </row>
    <row r="113" spans="1:15" ht="25.5">
      <c r="A113" s="35"/>
      <c r="B113" s="51" t="s">
        <v>302</v>
      </c>
      <c r="C113" s="10">
        <f t="shared" si="32"/>
        <v>1443.9599999999998</v>
      </c>
      <c r="D113" s="10"/>
      <c r="E113" s="10"/>
      <c r="F113" s="10"/>
      <c r="G113" s="10"/>
      <c r="H113" s="10"/>
      <c r="I113" s="10"/>
      <c r="J113" s="10"/>
      <c r="K113" s="10"/>
      <c r="L113" s="10"/>
      <c r="M113" s="10"/>
      <c r="N113" s="10">
        <f>1173+211.14+36.36+23.46</f>
        <v>1443.9599999999998</v>
      </c>
      <c r="O113" s="10"/>
    </row>
    <row r="114" spans="1:15" s="25" customFormat="1" ht="12.75">
      <c r="A114" s="28">
        <v>5</v>
      </c>
      <c r="B114" s="29" t="s">
        <v>190</v>
      </c>
      <c r="C114" s="30">
        <f t="shared" si="32"/>
        <v>0</v>
      </c>
      <c r="D114" s="30">
        <f>D115</f>
        <v>0</v>
      </c>
      <c r="E114" s="30">
        <f>E115</f>
        <v>0</v>
      </c>
      <c r="F114" s="30">
        <f>F115</f>
        <v>0</v>
      </c>
      <c r="G114" s="30">
        <f aca="true" t="shared" si="34" ref="G114:O114">G115</f>
        <v>0</v>
      </c>
      <c r="H114" s="30">
        <f t="shared" si="34"/>
        <v>0</v>
      </c>
      <c r="I114" s="30">
        <f t="shared" si="34"/>
        <v>0</v>
      </c>
      <c r="J114" s="30">
        <f t="shared" si="34"/>
        <v>0</v>
      </c>
      <c r="K114" s="30">
        <f t="shared" si="34"/>
        <v>0</v>
      </c>
      <c r="L114" s="30">
        <f t="shared" si="34"/>
        <v>0</v>
      </c>
      <c r="M114" s="30">
        <f t="shared" si="34"/>
        <v>0</v>
      </c>
      <c r="N114" s="30">
        <f t="shared" si="34"/>
        <v>0</v>
      </c>
      <c r="O114" s="30">
        <f t="shared" si="34"/>
        <v>0</v>
      </c>
    </row>
    <row r="115" spans="1:15" ht="25.5">
      <c r="A115" s="35"/>
      <c r="B115" s="51" t="s">
        <v>231</v>
      </c>
      <c r="C115" s="10">
        <f t="shared" si="32"/>
        <v>0</v>
      </c>
      <c r="D115" s="10"/>
      <c r="E115" s="10"/>
      <c r="F115" s="10"/>
      <c r="G115" s="10"/>
      <c r="H115" s="10"/>
      <c r="I115" s="10"/>
      <c r="J115" s="10"/>
      <c r="K115" s="10"/>
      <c r="L115" s="10"/>
      <c r="M115" s="10"/>
      <c r="N115" s="10"/>
      <c r="O115" s="10"/>
    </row>
    <row r="116" spans="1:15" s="25" customFormat="1" ht="12.75">
      <c r="A116" s="28">
        <v>6</v>
      </c>
      <c r="B116" s="29" t="s">
        <v>255</v>
      </c>
      <c r="C116" s="30">
        <f t="shared" si="32"/>
        <v>1414.42</v>
      </c>
      <c r="D116" s="30">
        <f>D117</f>
        <v>0</v>
      </c>
      <c r="E116" s="30">
        <f aca="true" t="shared" si="35" ref="E116:O116">E117</f>
        <v>0</v>
      </c>
      <c r="F116" s="30">
        <f t="shared" si="35"/>
        <v>0</v>
      </c>
      <c r="G116" s="30">
        <f t="shared" si="35"/>
        <v>0</v>
      </c>
      <c r="H116" s="30">
        <f t="shared" si="35"/>
        <v>0</v>
      </c>
      <c r="I116" s="30">
        <f t="shared" si="35"/>
        <v>1414.42</v>
      </c>
      <c r="J116" s="30">
        <f t="shared" si="35"/>
        <v>0</v>
      </c>
      <c r="K116" s="30">
        <f t="shared" si="35"/>
        <v>0</v>
      </c>
      <c r="L116" s="30">
        <f t="shared" si="35"/>
        <v>0</v>
      </c>
      <c r="M116" s="30">
        <f t="shared" si="35"/>
        <v>0</v>
      </c>
      <c r="N116" s="30">
        <f t="shared" si="35"/>
        <v>0</v>
      </c>
      <c r="O116" s="30">
        <f t="shared" si="35"/>
        <v>0</v>
      </c>
    </row>
    <row r="117" spans="1:15" ht="38.25">
      <c r="A117" s="35"/>
      <c r="B117" s="51" t="s">
        <v>256</v>
      </c>
      <c r="C117" s="10">
        <f t="shared" si="32"/>
        <v>1414.42</v>
      </c>
      <c r="D117" s="10"/>
      <c r="E117" s="10"/>
      <c r="F117" s="10"/>
      <c r="G117" s="10"/>
      <c r="H117" s="10"/>
      <c r="I117" s="10">
        <f>1149+265.42</f>
        <v>1414.42</v>
      </c>
      <c r="J117" s="10"/>
      <c r="K117" s="10"/>
      <c r="L117" s="10"/>
      <c r="M117" s="10"/>
      <c r="N117" s="10"/>
      <c r="O117" s="10"/>
    </row>
    <row r="118" spans="1:15" s="25" customFormat="1" ht="12.75">
      <c r="A118" s="28">
        <v>7</v>
      </c>
      <c r="B118" s="29" t="s">
        <v>264</v>
      </c>
      <c r="C118" s="30">
        <f t="shared" si="32"/>
        <v>17687.010000000002</v>
      </c>
      <c r="D118" s="30">
        <f>D119</f>
        <v>0</v>
      </c>
      <c r="E118" s="30">
        <f aca="true" t="shared" si="36" ref="E118:O118">E119</f>
        <v>0</v>
      </c>
      <c r="F118" s="30">
        <f t="shared" si="36"/>
        <v>0</v>
      </c>
      <c r="G118" s="30">
        <f t="shared" si="36"/>
        <v>0</v>
      </c>
      <c r="H118" s="30">
        <f t="shared" si="36"/>
        <v>0</v>
      </c>
      <c r="I118" s="30">
        <f t="shared" si="36"/>
        <v>0</v>
      </c>
      <c r="J118" s="30">
        <f t="shared" si="36"/>
        <v>0</v>
      </c>
      <c r="K118" s="30">
        <f t="shared" si="36"/>
        <v>14856.94</v>
      </c>
      <c r="L118" s="30">
        <f t="shared" si="36"/>
        <v>2830.07</v>
      </c>
      <c r="M118" s="30">
        <f t="shared" si="36"/>
        <v>0</v>
      </c>
      <c r="N118" s="30">
        <f t="shared" si="36"/>
        <v>0</v>
      </c>
      <c r="O118" s="30">
        <f t="shared" si="36"/>
        <v>0</v>
      </c>
    </row>
    <row r="119" spans="1:15" ht="12.75">
      <c r="A119" s="35"/>
      <c r="B119" s="51" t="s">
        <v>265</v>
      </c>
      <c r="C119" s="10">
        <f t="shared" si="32"/>
        <v>17687.010000000002</v>
      </c>
      <c r="D119" s="10"/>
      <c r="E119" s="10"/>
      <c r="F119" s="10"/>
      <c r="G119" s="10"/>
      <c r="H119" s="10"/>
      <c r="I119" s="10"/>
      <c r="J119" s="10"/>
      <c r="K119" s="10">
        <f>12069+2787.94</f>
        <v>14856.94</v>
      </c>
      <c r="L119" s="10">
        <f>2299+531.07</f>
        <v>2830.07</v>
      </c>
      <c r="M119" s="10"/>
      <c r="N119" s="10"/>
      <c r="O119" s="10"/>
    </row>
    <row r="120" spans="1:15" s="25" customFormat="1" ht="12.75">
      <c r="A120" s="28">
        <v>8</v>
      </c>
      <c r="B120" s="29" t="s">
        <v>186</v>
      </c>
      <c r="C120" s="30">
        <f t="shared" si="32"/>
        <v>7122.5599999999995</v>
      </c>
      <c r="D120" s="30">
        <f>D121</f>
        <v>0</v>
      </c>
      <c r="E120" s="30">
        <f aca="true" t="shared" si="37" ref="E120:O120">E121</f>
        <v>0</v>
      </c>
      <c r="F120" s="30">
        <f t="shared" si="37"/>
        <v>0</v>
      </c>
      <c r="G120" s="30">
        <f t="shared" si="37"/>
        <v>0</v>
      </c>
      <c r="H120" s="30">
        <f t="shared" si="37"/>
        <v>7122.5599999999995</v>
      </c>
      <c r="I120" s="30">
        <f t="shared" si="37"/>
        <v>0</v>
      </c>
      <c r="J120" s="30">
        <f t="shared" si="37"/>
        <v>0</v>
      </c>
      <c r="K120" s="30">
        <f t="shared" si="37"/>
        <v>0</v>
      </c>
      <c r="L120" s="30">
        <f t="shared" si="37"/>
        <v>0</v>
      </c>
      <c r="M120" s="30">
        <f t="shared" si="37"/>
        <v>0</v>
      </c>
      <c r="N120" s="30">
        <f t="shared" si="37"/>
        <v>0</v>
      </c>
      <c r="O120" s="30">
        <f t="shared" si="37"/>
        <v>0</v>
      </c>
    </row>
    <row r="121" spans="1:15" ht="38.25">
      <c r="A121" s="35"/>
      <c r="B121" s="51" t="s">
        <v>253</v>
      </c>
      <c r="C121" s="10">
        <f t="shared" si="32"/>
        <v>7122.5599999999995</v>
      </c>
      <c r="D121" s="10"/>
      <c r="E121" s="10"/>
      <c r="F121" s="10"/>
      <c r="G121" s="10"/>
      <c r="H121" s="10">
        <f>5747+1375.56</f>
        <v>7122.5599999999995</v>
      </c>
      <c r="I121" s="10"/>
      <c r="J121" s="10"/>
      <c r="K121" s="10"/>
      <c r="L121" s="10"/>
      <c r="M121" s="10"/>
      <c r="N121" s="10"/>
      <c r="O121" s="10"/>
    </row>
    <row r="122" spans="1:15" s="25" customFormat="1" ht="12.75">
      <c r="A122" s="28">
        <v>9</v>
      </c>
      <c r="B122" s="29" t="s">
        <v>191</v>
      </c>
      <c r="C122" s="30">
        <f>SUM(D122:O122)</f>
        <v>2971.63</v>
      </c>
      <c r="D122" s="30">
        <f>D123+D124</f>
        <v>0</v>
      </c>
      <c r="E122" s="30">
        <f aca="true" t="shared" si="38" ref="E122:O122">E123+E124</f>
        <v>0</v>
      </c>
      <c r="F122" s="30">
        <f t="shared" si="38"/>
        <v>849.3900000000001</v>
      </c>
      <c r="G122" s="30">
        <f t="shared" si="38"/>
        <v>2122.24</v>
      </c>
      <c r="H122" s="30">
        <f t="shared" si="38"/>
        <v>0</v>
      </c>
      <c r="I122" s="30">
        <f t="shared" si="38"/>
        <v>0</v>
      </c>
      <c r="J122" s="30">
        <f t="shared" si="38"/>
        <v>0</v>
      </c>
      <c r="K122" s="30">
        <f t="shared" si="38"/>
        <v>0</v>
      </c>
      <c r="L122" s="30">
        <f t="shared" si="38"/>
        <v>0</v>
      </c>
      <c r="M122" s="30">
        <f t="shared" si="38"/>
        <v>0</v>
      </c>
      <c r="N122" s="30">
        <f t="shared" si="38"/>
        <v>0</v>
      </c>
      <c r="O122" s="30">
        <f t="shared" si="38"/>
        <v>0</v>
      </c>
    </row>
    <row r="123" spans="1:15" ht="25.5">
      <c r="A123" s="35"/>
      <c r="B123" s="51" t="s">
        <v>249</v>
      </c>
      <c r="C123" s="10">
        <f>SUM(D123:O123)</f>
        <v>849.3900000000001</v>
      </c>
      <c r="D123" s="10"/>
      <c r="E123" s="10"/>
      <c r="F123" s="10">
        <f>690+124.2+35.19</f>
        <v>849.3900000000001</v>
      </c>
      <c r="G123" s="10"/>
      <c r="H123" s="10"/>
      <c r="I123" s="10"/>
      <c r="J123" s="10"/>
      <c r="K123" s="10"/>
      <c r="L123" s="10"/>
      <c r="M123" s="10"/>
      <c r="N123" s="10"/>
      <c r="O123" s="10"/>
    </row>
    <row r="124" spans="1:15" ht="25.5">
      <c r="A124" s="35"/>
      <c r="B124" s="51" t="s">
        <v>250</v>
      </c>
      <c r="C124" s="10">
        <f>SUM(D124:O124)</f>
        <v>2122.24</v>
      </c>
      <c r="D124" s="10"/>
      <c r="E124" s="10"/>
      <c r="F124" s="10"/>
      <c r="G124" s="10">
        <f>1724+398.24</f>
        <v>2122.24</v>
      </c>
      <c r="H124" s="10"/>
      <c r="I124" s="10"/>
      <c r="J124" s="10"/>
      <c r="K124" s="10"/>
      <c r="L124" s="10"/>
      <c r="M124" s="10"/>
      <c r="N124" s="10"/>
      <c r="O124" s="10"/>
    </row>
    <row r="125" spans="1:15" s="25" customFormat="1" ht="12.75">
      <c r="A125" s="28">
        <v>10</v>
      </c>
      <c r="B125" s="29" t="s">
        <v>187</v>
      </c>
      <c r="C125" s="30">
        <f t="shared" si="32"/>
        <v>62654.18999999999</v>
      </c>
      <c r="D125" s="30">
        <f>D127+D126+D128+D129+D130+D131</f>
        <v>1200</v>
      </c>
      <c r="E125" s="30">
        <f aca="true" t="shared" si="39" ref="E125:O125">E127+E126+E128+E129+E130+E131</f>
        <v>1200</v>
      </c>
      <c r="F125" s="30">
        <f t="shared" si="39"/>
        <v>1200</v>
      </c>
      <c r="G125" s="30">
        <f t="shared" si="39"/>
        <v>1200</v>
      </c>
      <c r="H125" s="30">
        <f t="shared" si="39"/>
        <v>4137.889999999999</v>
      </c>
      <c r="I125" s="30">
        <f t="shared" si="39"/>
        <v>1200</v>
      </c>
      <c r="J125" s="30">
        <f t="shared" si="39"/>
        <v>28013.649999999998</v>
      </c>
      <c r="K125" s="30">
        <f t="shared" si="39"/>
        <v>4137.889999999999</v>
      </c>
      <c r="L125" s="30">
        <f t="shared" si="39"/>
        <v>13226.869999999999</v>
      </c>
      <c r="M125" s="30">
        <f t="shared" si="39"/>
        <v>1200</v>
      </c>
      <c r="N125" s="30">
        <f t="shared" si="39"/>
        <v>1200</v>
      </c>
      <c r="O125" s="30">
        <f t="shared" si="39"/>
        <v>4737.889999999999</v>
      </c>
    </row>
    <row r="126" spans="1:15" s="25" customFormat="1" ht="12.75">
      <c r="A126" s="28"/>
      <c r="B126" s="51" t="s">
        <v>196</v>
      </c>
      <c r="C126" s="10">
        <f t="shared" si="32"/>
        <v>13200</v>
      </c>
      <c r="D126" s="10">
        <v>1200</v>
      </c>
      <c r="E126" s="10">
        <v>1200</v>
      </c>
      <c r="F126" s="10">
        <v>1200</v>
      </c>
      <c r="G126" s="10">
        <v>1200</v>
      </c>
      <c r="H126" s="10">
        <v>600</v>
      </c>
      <c r="I126" s="10">
        <v>1200</v>
      </c>
      <c r="J126" s="10">
        <v>1200</v>
      </c>
      <c r="K126" s="10">
        <v>600</v>
      </c>
      <c r="L126" s="10">
        <v>1200</v>
      </c>
      <c r="M126" s="10">
        <v>1200</v>
      </c>
      <c r="N126" s="10">
        <v>1200</v>
      </c>
      <c r="O126" s="143">
        <v>1200</v>
      </c>
    </row>
    <row r="127" spans="1:15" ht="25.5">
      <c r="A127" s="35"/>
      <c r="B127" s="51" t="s">
        <v>254</v>
      </c>
      <c r="C127" s="10">
        <f t="shared" si="32"/>
        <v>10613.67</v>
      </c>
      <c r="D127" s="10"/>
      <c r="E127" s="10"/>
      <c r="F127" s="10"/>
      <c r="G127" s="10"/>
      <c r="H127" s="10">
        <f>2874+663.89</f>
        <v>3537.89</v>
      </c>
      <c r="I127" s="10"/>
      <c r="J127" s="10"/>
      <c r="K127" s="10">
        <f>2874+663.89</f>
        <v>3537.89</v>
      </c>
      <c r="L127" s="10"/>
      <c r="M127" s="10"/>
      <c r="N127" s="10"/>
      <c r="O127" s="143">
        <f>2874+663.89</f>
        <v>3537.89</v>
      </c>
    </row>
    <row r="128" spans="1:15" ht="38.25">
      <c r="A128" s="35"/>
      <c r="B128" s="51" t="s">
        <v>258</v>
      </c>
      <c r="C128" s="10">
        <f t="shared" si="32"/>
        <v>8490.21</v>
      </c>
      <c r="D128" s="10"/>
      <c r="E128" s="10"/>
      <c r="F128" s="10"/>
      <c r="G128" s="10"/>
      <c r="H128" s="10"/>
      <c r="I128" s="10"/>
      <c r="J128" s="10">
        <f>6897+1593.21</f>
        <v>8490.21</v>
      </c>
      <c r="K128" s="10"/>
      <c r="L128" s="10"/>
      <c r="M128" s="10"/>
      <c r="N128" s="10"/>
      <c r="O128" s="10"/>
    </row>
    <row r="129" spans="1:15" ht="38.25">
      <c r="A129" s="35"/>
      <c r="B129" s="51" t="s">
        <v>259</v>
      </c>
      <c r="C129" s="10">
        <f t="shared" si="32"/>
        <v>10399.49</v>
      </c>
      <c r="D129" s="10"/>
      <c r="E129" s="10"/>
      <c r="F129" s="10"/>
      <c r="G129" s="10"/>
      <c r="H129" s="10"/>
      <c r="I129" s="10"/>
      <c r="J129" s="10">
        <f>8448+1951.49</f>
        <v>10399.49</v>
      </c>
      <c r="K129" s="10"/>
      <c r="L129" s="10"/>
      <c r="M129" s="10"/>
      <c r="N129" s="10"/>
      <c r="O129" s="10"/>
    </row>
    <row r="130" spans="1:15" ht="38.25">
      <c r="A130" s="35"/>
      <c r="B130" s="51" t="s">
        <v>260</v>
      </c>
      <c r="C130" s="10">
        <f t="shared" si="32"/>
        <v>7923.95</v>
      </c>
      <c r="D130" s="10"/>
      <c r="E130" s="10"/>
      <c r="F130" s="10"/>
      <c r="G130" s="10"/>
      <c r="H130" s="10"/>
      <c r="I130" s="10"/>
      <c r="J130" s="10">
        <f>6437+1486.95</f>
        <v>7923.95</v>
      </c>
      <c r="K130" s="10"/>
      <c r="L130" s="10"/>
      <c r="M130" s="10"/>
      <c r="N130" s="10"/>
      <c r="O130" s="10"/>
    </row>
    <row r="131" spans="1:15" ht="12.75">
      <c r="A131" s="35"/>
      <c r="B131" s="51" t="s">
        <v>265</v>
      </c>
      <c r="C131" s="10">
        <f t="shared" si="32"/>
        <v>12026.869999999999</v>
      </c>
      <c r="D131" s="10"/>
      <c r="E131" s="10"/>
      <c r="F131" s="10"/>
      <c r="G131" s="10"/>
      <c r="H131" s="10"/>
      <c r="I131" s="10"/>
      <c r="J131" s="10"/>
      <c r="K131" s="10"/>
      <c r="L131" s="10">
        <f>9770+2256.87</f>
        <v>12026.869999999999</v>
      </c>
      <c r="M131" s="10"/>
      <c r="N131" s="10"/>
      <c r="O131" s="10"/>
    </row>
    <row r="132" spans="1:15" s="25" customFormat="1" ht="12.75">
      <c r="A132" s="28">
        <v>11</v>
      </c>
      <c r="B132" s="29" t="s">
        <v>52</v>
      </c>
      <c r="C132" s="30">
        <f t="shared" si="32"/>
        <v>0</v>
      </c>
      <c r="D132" s="30">
        <f>D133+D134</f>
        <v>0</v>
      </c>
      <c r="E132" s="30">
        <f aca="true" t="shared" si="40" ref="E132:O132">E133+E134</f>
        <v>0</v>
      </c>
      <c r="F132" s="30">
        <f t="shared" si="40"/>
        <v>0</v>
      </c>
      <c r="G132" s="30">
        <f t="shared" si="40"/>
        <v>0</v>
      </c>
      <c r="H132" s="30">
        <f t="shared" si="40"/>
        <v>0</v>
      </c>
      <c r="I132" s="30">
        <f t="shared" si="40"/>
        <v>0</v>
      </c>
      <c r="J132" s="30">
        <f t="shared" si="40"/>
        <v>0</v>
      </c>
      <c r="K132" s="30">
        <f t="shared" si="40"/>
        <v>0</v>
      </c>
      <c r="L132" s="30">
        <f t="shared" si="40"/>
        <v>0</v>
      </c>
      <c r="M132" s="30">
        <f t="shared" si="40"/>
        <v>0</v>
      </c>
      <c r="N132" s="30">
        <f t="shared" si="40"/>
        <v>0</v>
      </c>
      <c r="O132" s="30">
        <f t="shared" si="40"/>
        <v>0</v>
      </c>
    </row>
    <row r="133" spans="1:15" ht="51">
      <c r="A133" s="35"/>
      <c r="B133" s="51" t="s">
        <v>188</v>
      </c>
      <c r="C133" s="10">
        <f t="shared" si="32"/>
        <v>0</v>
      </c>
      <c r="D133" s="10"/>
      <c r="E133" s="10"/>
      <c r="F133" s="10"/>
      <c r="G133" s="10"/>
      <c r="H133" s="10"/>
      <c r="I133" s="10"/>
      <c r="J133" s="10"/>
      <c r="K133" s="10"/>
      <c r="L133" s="10"/>
      <c r="M133" s="10"/>
      <c r="N133" s="10"/>
      <c r="O133" s="10"/>
    </row>
    <row r="134" spans="1:15" ht="25.5">
      <c r="A134" s="35"/>
      <c r="B134" s="51" t="s">
        <v>189</v>
      </c>
      <c r="C134" s="10">
        <f t="shared" si="32"/>
        <v>0</v>
      </c>
      <c r="D134" s="10"/>
      <c r="E134" s="10"/>
      <c r="F134" s="10"/>
      <c r="G134" s="10"/>
      <c r="H134" s="10"/>
      <c r="I134" s="10"/>
      <c r="J134" s="10"/>
      <c r="K134" s="10"/>
      <c r="L134" s="10"/>
      <c r="M134" s="10"/>
      <c r="N134" s="10"/>
      <c r="O134" s="10"/>
    </row>
    <row r="135" spans="1:15" s="25" customFormat="1" ht="12.75">
      <c r="A135" s="28">
        <v>12</v>
      </c>
      <c r="B135" s="29" t="s">
        <v>190</v>
      </c>
      <c r="C135" s="30">
        <f t="shared" si="32"/>
        <v>4244.490000000001</v>
      </c>
      <c r="D135" s="30">
        <f>D136</f>
        <v>0</v>
      </c>
      <c r="E135" s="30">
        <f aca="true" t="shared" si="41" ref="E135:O135">E136</f>
        <v>4244.490000000001</v>
      </c>
      <c r="F135" s="30">
        <f t="shared" si="41"/>
        <v>0</v>
      </c>
      <c r="G135" s="30">
        <f t="shared" si="41"/>
        <v>0</v>
      </c>
      <c r="H135" s="30">
        <f t="shared" si="41"/>
        <v>0</v>
      </c>
      <c r="I135" s="30">
        <f t="shared" si="41"/>
        <v>0</v>
      </c>
      <c r="J135" s="30">
        <f t="shared" si="41"/>
        <v>0</v>
      </c>
      <c r="K135" s="30">
        <f t="shared" si="41"/>
        <v>0</v>
      </c>
      <c r="L135" s="30">
        <f t="shared" si="41"/>
        <v>0</v>
      </c>
      <c r="M135" s="30">
        <f t="shared" si="41"/>
        <v>0</v>
      </c>
      <c r="N135" s="30">
        <f t="shared" si="41"/>
        <v>0</v>
      </c>
      <c r="O135" s="30">
        <f t="shared" si="41"/>
        <v>0</v>
      </c>
    </row>
    <row r="136" spans="1:15" ht="63.75">
      <c r="A136" s="35"/>
      <c r="B136" s="51" t="s">
        <v>247</v>
      </c>
      <c r="C136" s="10">
        <f t="shared" si="32"/>
        <v>4244.490000000001</v>
      </c>
      <c r="D136" s="10"/>
      <c r="E136" s="10">
        <f>3448+413.76+206.88+106.89+68.96</f>
        <v>4244.490000000001</v>
      </c>
      <c r="F136" s="10"/>
      <c r="G136" s="10"/>
      <c r="H136" s="10"/>
      <c r="I136" s="10"/>
      <c r="J136" s="10"/>
      <c r="K136" s="10"/>
      <c r="L136" s="10"/>
      <c r="M136" s="10"/>
      <c r="N136" s="10"/>
      <c r="O136" s="10"/>
    </row>
    <row r="137" spans="1:15" s="25" customFormat="1" ht="12.75">
      <c r="A137" s="28">
        <v>13</v>
      </c>
      <c r="B137" s="29" t="s">
        <v>67</v>
      </c>
      <c r="C137" s="30">
        <f t="shared" si="32"/>
        <v>3025.43</v>
      </c>
      <c r="D137" s="30">
        <f>D138</f>
        <v>0</v>
      </c>
      <c r="E137" s="30">
        <f aca="true" t="shared" si="42" ref="E137:N137">E138</f>
        <v>0</v>
      </c>
      <c r="F137" s="30">
        <f t="shared" si="42"/>
        <v>0</v>
      </c>
      <c r="G137" s="30">
        <f t="shared" si="42"/>
        <v>0</v>
      </c>
      <c r="H137" s="30">
        <f t="shared" si="42"/>
        <v>0</v>
      </c>
      <c r="I137" s="30">
        <f t="shared" si="42"/>
        <v>0</v>
      </c>
      <c r="J137" s="30">
        <f t="shared" si="42"/>
        <v>248.97</v>
      </c>
      <c r="K137" s="30">
        <f t="shared" si="42"/>
        <v>555.88</v>
      </c>
      <c r="L137" s="30">
        <f t="shared" si="42"/>
        <v>557.84</v>
      </c>
      <c r="M137" s="30">
        <f t="shared" si="42"/>
        <v>550.49</v>
      </c>
      <c r="N137" s="30">
        <f t="shared" si="42"/>
        <v>552.94</v>
      </c>
      <c r="O137" s="30">
        <v>559.31</v>
      </c>
    </row>
    <row r="138" spans="1:15" ht="12.75">
      <c r="A138" s="35"/>
      <c r="B138" s="51" t="s">
        <v>288</v>
      </c>
      <c r="C138" s="10">
        <f t="shared" si="32"/>
        <v>3025.43</v>
      </c>
      <c r="D138" s="10"/>
      <c r="E138" s="10"/>
      <c r="F138" s="10"/>
      <c r="G138" s="10"/>
      <c r="H138" s="10"/>
      <c r="I138" s="10"/>
      <c r="J138" s="10">
        <v>248.97</v>
      </c>
      <c r="K138" s="10">
        <v>555.88</v>
      </c>
      <c r="L138" s="10">
        <v>557.84</v>
      </c>
      <c r="M138" s="10">
        <v>550.49</v>
      </c>
      <c r="N138" s="143">
        <v>552.94</v>
      </c>
      <c r="O138" s="153">
        <v>559.31</v>
      </c>
    </row>
    <row r="139" spans="1:15" s="25" customFormat="1" ht="12.75">
      <c r="A139" s="28">
        <v>14</v>
      </c>
      <c r="B139" s="29" t="s">
        <v>283</v>
      </c>
      <c r="C139" s="30">
        <f t="shared" si="32"/>
        <v>41190</v>
      </c>
      <c r="D139" s="30">
        <f>D140</f>
        <v>0</v>
      </c>
      <c r="E139" s="30">
        <f aca="true" t="shared" si="43" ref="E139:O139">E140</f>
        <v>0</v>
      </c>
      <c r="F139" s="30">
        <f t="shared" si="43"/>
        <v>0</v>
      </c>
      <c r="G139" s="30">
        <f t="shared" si="43"/>
        <v>0</v>
      </c>
      <c r="H139" s="30">
        <f t="shared" si="43"/>
        <v>0</v>
      </c>
      <c r="I139" s="30">
        <f t="shared" si="43"/>
        <v>5670</v>
      </c>
      <c r="J139" s="30">
        <f t="shared" si="43"/>
        <v>5670</v>
      </c>
      <c r="K139" s="30">
        <f t="shared" si="43"/>
        <v>5670</v>
      </c>
      <c r="L139" s="30">
        <f t="shared" si="43"/>
        <v>5670</v>
      </c>
      <c r="M139" s="30">
        <f t="shared" si="43"/>
        <v>5670</v>
      </c>
      <c r="N139" s="30">
        <f t="shared" si="43"/>
        <v>5670</v>
      </c>
      <c r="O139" s="30">
        <f t="shared" si="43"/>
        <v>7170</v>
      </c>
    </row>
    <row r="140" spans="1:15" ht="12.75">
      <c r="A140" s="69"/>
      <c r="B140" s="51" t="s">
        <v>284</v>
      </c>
      <c r="C140" s="10">
        <f t="shared" si="32"/>
        <v>41190</v>
      </c>
      <c r="D140" s="10"/>
      <c r="E140" s="10"/>
      <c r="F140" s="10"/>
      <c r="G140" s="10"/>
      <c r="H140" s="10"/>
      <c r="I140" s="10">
        <v>5670</v>
      </c>
      <c r="J140" s="10">
        <v>5670</v>
      </c>
      <c r="K140" s="10">
        <v>5670</v>
      </c>
      <c r="L140" s="10">
        <v>5670</v>
      </c>
      <c r="M140" s="10">
        <v>5670</v>
      </c>
      <c r="N140" s="10">
        <v>5670</v>
      </c>
      <c r="O140" s="143">
        <f>5670+1500</f>
        <v>7170</v>
      </c>
    </row>
    <row r="141" spans="1:15" s="25" customFormat="1" ht="12.75">
      <c r="A141" s="28">
        <v>15</v>
      </c>
      <c r="B141" s="29" t="s">
        <v>237</v>
      </c>
      <c r="C141" s="30">
        <f t="shared" si="28"/>
        <v>38784</v>
      </c>
      <c r="D141" s="30">
        <f aca="true" t="shared" si="44" ref="D141:O141">SUM(D142:D142)</f>
        <v>7272</v>
      </c>
      <c r="E141" s="30">
        <f t="shared" si="44"/>
        <v>7272</v>
      </c>
      <c r="F141" s="30">
        <f t="shared" si="44"/>
        <v>7272</v>
      </c>
      <c r="G141" s="30">
        <f t="shared" si="44"/>
        <v>7272</v>
      </c>
      <c r="H141" s="30">
        <f t="shared" si="44"/>
        <v>7272</v>
      </c>
      <c r="I141" s="30">
        <f t="shared" si="44"/>
        <v>2424</v>
      </c>
      <c r="J141" s="30">
        <f t="shared" si="44"/>
        <v>0</v>
      </c>
      <c r="K141" s="30">
        <f t="shared" si="44"/>
        <v>0</v>
      </c>
      <c r="L141" s="30">
        <f t="shared" si="44"/>
        <v>0</v>
      </c>
      <c r="M141" s="30">
        <f t="shared" si="44"/>
        <v>0</v>
      </c>
      <c r="N141" s="30">
        <f t="shared" si="44"/>
        <v>0</v>
      </c>
      <c r="O141" s="30">
        <f t="shared" si="44"/>
        <v>0</v>
      </c>
    </row>
    <row r="142" spans="1:15" ht="12.75">
      <c r="A142" s="37"/>
      <c r="B142" s="51" t="s">
        <v>376</v>
      </c>
      <c r="C142" s="10">
        <f t="shared" si="28"/>
        <v>38784</v>
      </c>
      <c r="D142" s="10">
        <v>7272</v>
      </c>
      <c r="E142" s="10">
        <v>7272</v>
      </c>
      <c r="F142" s="10">
        <v>7272</v>
      </c>
      <c r="G142" s="10">
        <v>7272</v>
      </c>
      <c r="H142" s="10">
        <v>7272</v>
      </c>
      <c r="I142" s="10">
        <v>2424</v>
      </c>
      <c r="J142" s="10"/>
      <c r="K142" s="10"/>
      <c r="L142" s="10"/>
      <c r="M142" s="10"/>
      <c r="N142" s="10"/>
      <c r="O142" s="10"/>
    </row>
    <row r="143" spans="1:15" s="25" customFormat="1" ht="12.75">
      <c r="A143" s="28">
        <v>16</v>
      </c>
      <c r="B143" s="29" t="s">
        <v>293</v>
      </c>
      <c r="C143" s="30">
        <f t="shared" si="28"/>
        <v>8492</v>
      </c>
      <c r="D143" s="30">
        <f aca="true" t="shared" si="45" ref="D143:O143">SUM(D144:D144)</f>
        <v>0</v>
      </c>
      <c r="E143" s="30">
        <f t="shared" si="45"/>
        <v>0</v>
      </c>
      <c r="F143" s="30">
        <f t="shared" si="45"/>
        <v>0</v>
      </c>
      <c r="G143" s="30">
        <f t="shared" si="45"/>
        <v>0</v>
      </c>
      <c r="H143" s="30">
        <f t="shared" si="45"/>
        <v>0</v>
      </c>
      <c r="I143" s="30">
        <f t="shared" si="45"/>
        <v>0</v>
      </c>
      <c r="J143" s="30">
        <f t="shared" si="45"/>
        <v>0</v>
      </c>
      <c r="K143" s="30">
        <f t="shared" si="45"/>
        <v>0</v>
      </c>
      <c r="L143" s="30">
        <f t="shared" si="45"/>
        <v>8492</v>
      </c>
      <c r="M143" s="30">
        <f t="shared" si="45"/>
        <v>0</v>
      </c>
      <c r="N143" s="30">
        <f t="shared" si="45"/>
        <v>0</v>
      </c>
      <c r="O143" s="30">
        <f t="shared" si="45"/>
        <v>0</v>
      </c>
    </row>
    <row r="144" spans="1:15" ht="12.75">
      <c r="A144" s="35"/>
      <c r="B144" s="51" t="s">
        <v>294</v>
      </c>
      <c r="C144" s="10">
        <f t="shared" si="28"/>
        <v>8492</v>
      </c>
      <c r="D144" s="10"/>
      <c r="E144" s="10"/>
      <c r="F144" s="10"/>
      <c r="G144" s="10"/>
      <c r="H144" s="10"/>
      <c r="I144" s="10"/>
      <c r="J144" s="10"/>
      <c r="K144" s="10"/>
      <c r="L144" s="10">
        <v>8492</v>
      </c>
      <c r="M144" s="10"/>
      <c r="N144" s="10"/>
      <c r="O144" s="10"/>
    </row>
    <row r="145" spans="1:15" s="25" customFormat="1" ht="12.75">
      <c r="A145" s="28">
        <v>17</v>
      </c>
      <c r="B145" s="29" t="s">
        <v>28</v>
      </c>
      <c r="C145" s="30">
        <f t="shared" si="28"/>
        <v>361469</v>
      </c>
      <c r="D145" s="30">
        <f>SUM(D146:D151)</f>
        <v>29267</v>
      </c>
      <c r="E145" s="30">
        <f aca="true" t="shared" si="46" ref="E145:O145">SUM(E146:E151)</f>
        <v>29497</v>
      </c>
      <c r="F145" s="30">
        <f t="shared" si="46"/>
        <v>29727</v>
      </c>
      <c r="G145" s="30">
        <f t="shared" si="46"/>
        <v>30187</v>
      </c>
      <c r="H145" s="30">
        <f t="shared" si="46"/>
        <v>30072</v>
      </c>
      <c r="I145" s="30">
        <f t="shared" si="46"/>
        <v>32172</v>
      </c>
      <c r="J145" s="30">
        <f t="shared" si="46"/>
        <v>30187</v>
      </c>
      <c r="K145" s="30">
        <f t="shared" si="46"/>
        <v>30187</v>
      </c>
      <c r="L145" s="30">
        <f t="shared" si="46"/>
        <v>29957</v>
      </c>
      <c r="M145" s="30">
        <f t="shared" si="46"/>
        <v>30072</v>
      </c>
      <c r="N145" s="30">
        <f t="shared" si="46"/>
        <v>30072</v>
      </c>
      <c r="O145" s="30">
        <f t="shared" si="46"/>
        <v>30072</v>
      </c>
    </row>
    <row r="146" spans="1:15" ht="24" customHeight="1">
      <c r="A146" s="35"/>
      <c r="B146" s="51" t="s">
        <v>31</v>
      </c>
      <c r="C146" s="10">
        <f>SUM(D146:O146)</f>
        <v>299345</v>
      </c>
      <c r="D146" s="10">
        <v>24265</v>
      </c>
      <c r="E146" s="10">
        <v>24495</v>
      </c>
      <c r="F146" s="10">
        <v>24725</v>
      </c>
      <c r="G146" s="10">
        <v>25185</v>
      </c>
      <c r="H146" s="10">
        <v>25070</v>
      </c>
      <c r="I146" s="10">
        <v>25070</v>
      </c>
      <c r="J146" s="10">
        <v>25185</v>
      </c>
      <c r="K146" s="10">
        <v>25185</v>
      </c>
      <c r="L146" s="10">
        <v>24955</v>
      </c>
      <c r="M146" s="10">
        <v>25070</v>
      </c>
      <c r="N146" s="10">
        <v>25070</v>
      </c>
      <c r="O146" s="143">
        <v>25070</v>
      </c>
    </row>
    <row r="147" spans="1:15" ht="25.5">
      <c r="A147" s="35"/>
      <c r="B147" s="51" t="s">
        <v>29</v>
      </c>
      <c r="C147" s="10">
        <f>SUM(D147:O147)</f>
        <v>60024</v>
      </c>
      <c r="D147" s="10">
        <v>5002</v>
      </c>
      <c r="E147" s="10">
        <v>5002</v>
      </c>
      <c r="F147" s="10">
        <v>5002</v>
      </c>
      <c r="G147" s="10">
        <v>5002</v>
      </c>
      <c r="H147" s="10">
        <v>5002</v>
      </c>
      <c r="I147" s="10">
        <v>5002</v>
      </c>
      <c r="J147" s="10">
        <v>5002</v>
      </c>
      <c r="K147" s="10">
        <v>5002</v>
      </c>
      <c r="L147" s="10">
        <v>5002</v>
      </c>
      <c r="M147" s="10">
        <v>5002</v>
      </c>
      <c r="N147" s="10">
        <v>5002</v>
      </c>
      <c r="O147" s="143">
        <v>5002</v>
      </c>
    </row>
    <row r="148" spans="1:15" ht="25.5">
      <c r="A148" s="35"/>
      <c r="B148" s="51" t="s">
        <v>279</v>
      </c>
      <c r="C148" s="10">
        <f>SUM(D148:O148)</f>
        <v>2100</v>
      </c>
      <c r="D148" s="10"/>
      <c r="E148" s="10"/>
      <c r="F148" s="10"/>
      <c r="G148" s="10"/>
      <c r="H148" s="10"/>
      <c r="I148" s="10">
        <v>2100</v>
      </c>
      <c r="J148" s="10"/>
      <c r="K148" s="10"/>
      <c r="L148" s="10"/>
      <c r="M148" s="10"/>
      <c r="N148" s="10"/>
      <c r="O148" s="10"/>
    </row>
    <row r="149" spans="1:15" ht="25.5">
      <c r="A149" s="35"/>
      <c r="B149" s="51" t="s">
        <v>30</v>
      </c>
      <c r="C149" s="10">
        <f t="shared" si="28"/>
        <v>0</v>
      </c>
      <c r="D149" s="10"/>
      <c r="E149" s="10"/>
      <c r="F149" s="10"/>
      <c r="G149" s="10"/>
      <c r="H149" s="10"/>
      <c r="I149" s="10"/>
      <c r="J149" s="10"/>
      <c r="K149" s="10"/>
      <c r="L149" s="10"/>
      <c r="M149" s="10"/>
      <c r="N149" s="10"/>
      <c r="O149" s="10"/>
    </row>
    <row r="150" spans="1:15" ht="25.5">
      <c r="A150" s="35"/>
      <c r="B150" s="66" t="s">
        <v>163</v>
      </c>
      <c r="C150" s="10">
        <f t="shared" si="28"/>
        <v>0</v>
      </c>
      <c r="D150" s="10"/>
      <c r="E150" s="10"/>
      <c r="F150" s="10"/>
      <c r="G150" s="10"/>
      <c r="H150" s="10"/>
      <c r="I150" s="10"/>
      <c r="J150" s="10"/>
      <c r="K150" s="10"/>
      <c r="L150" s="10"/>
      <c r="M150" s="10"/>
      <c r="N150" s="10"/>
      <c r="O150" s="10"/>
    </row>
    <row r="151" spans="1:15" ht="25.5">
      <c r="A151" s="35"/>
      <c r="B151" s="51" t="s">
        <v>192</v>
      </c>
      <c r="C151" s="10">
        <f t="shared" si="28"/>
        <v>0</v>
      </c>
      <c r="D151" s="10"/>
      <c r="E151" s="10"/>
      <c r="F151" s="10"/>
      <c r="G151" s="10"/>
      <c r="H151" s="10"/>
      <c r="I151" s="10"/>
      <c r="J151" s="10"/>
      <c r="K151" s="10"/>
      <c r="L151" s="10"/>
      <c r="M151" s="10"/>
      <c r="N151" s="10"/>
      <c r="O151" s="10"/>
    </row>
    <row r="152" spans="1:15" ht="12.75">
      <c r="A152" s="28">
        <v>18</v>
      </c>
      <c r="B152" s="49" t="s">
        <v>32</v>
      </c>
      <c r="C152" s="30">
        <f t="shared" si="28"/>
        <v>363040.62000000005</v>
      </c>
      <c r="D152" s="30">
        <f>SUM(D153:D154)</f>
        <v>29544.84</v>
      </c>
      <c r="E152" s="30">
        <f aca="true" t="shared" si="47" ref="E152:O152">SUM(E153:E154)</f>
        <v>29544.84</v>
      </c>
      <c r="F152" s="30">
        <f t="shared" si="47"/>
        <v>29544.84</v>
      </c>
      <c r="G152" s="30">
        <f t="shared" si="47"/>
        <v>29544.84</v>
      </c>
      <c r="H152" s="30">
        <f t="shared" si="47"/>
        <v>29544.84</v>
      </c>
      <c r="I152" s="30">
        <f t="shared" si="47"/>
        <v>29544.84</v>
      </c>
      <c r="J152" s="30">
        <f t="shared" si="47"/>
        <v>29544.84</v>
      </c>
      <c r="K152" s="30">
        <f t="shared" si="47"/>
        <v>29544.84</v>
      </c>
      <c r="L152" s="30">
        <f t="shared" si="47"/>
        <v>29544.84</v>
      </c>
      <c r="M152" s="30">
        <f t="shared" si="47"/>
        <v>38047.380000000005</v>
      </c>
      <c r="N152" s="30">
        <f t="shared" si="47"/>
        <v>29544.84</v>
      </c>
      <c r="O152" s="30">
        <f t="shared" si="47"/>
        <v>29544.84</v>
      </c>
    </row>
    <row r="153" spans="1:15" ht="12.75">
      <c r="A153" s="35"/>
      <c r="B153" s="51" t="s">
        <v>33</v>
      </c>
      <c r="C153" s="10">
        <f t="shared" si="28"/>
        <v>354538.0800000001</v>
      </c>
      <c r="D153" s="10">
        <v>29544.84</v>
      </c>
      <c r="E153" s="10">
        <v>29544.84</v>
      </c>
      <c r="F153" s="10">
        <v>29544.84</v>
      </c>
      <c r="G153" s="10">
        <v>29544.84</v>
      </c>
      <c r="H153" s="10">
        <v>29544.84</v>
      </c>
      <c r="I153" s="10">
        <v>29544.84</v>
      </c>
      <c r="J153" s="10">
        <v>29544.84</v>
      </c>
      <c r="K153" s="10">
        <v>29544.84</v>
      </c>
      <c r="L153" s="10">
        <v>29544.84</v>
      </c>
      <c r="M153" s="10">
        <v>29544.84</v>
      </c>
      <c r="N153" s="143">
        <v>29544.84</v>
      </c>
      <c r="O153" s="143">
        <v>29544.84</v>
      </c>
    </row>
    <row r="154" spans="1:15" ht="21">
      <c r="A154" s="35"/>
      <c r="B154" s="104" t="s">
        <v>296</v>
      </c>
      <c r="C154" s="10">
        <f t="shared" si="28"/>
        <v>8502.54</v>
      </c>
      <c r="D154" s="10"/>
      <c r="E154" s="10"/>
      <c r="F154" s="11"/>
      <c r="G154" s="11"/>
      <c r="H154" s="11"/>
      <c r="I154" s="10"/>
      <c r="J154" s="10"/>
      <c r="K154" s="10"/>
      <c r="L154" s="10"/>
      <c r="M154" s="10">
        <v>8502.54</v>
      </c>
      <c r="N154" s="10"/>
      <c r="O154" s="10"/>
    </row>
    <row r="155" spans="1:15" ht="25.5">
      <c r="A155" s="28">
        <v>19</v>
      </c>
      <c r="B155" s="29" t="s">
        <v>418</v>
      </c>
      <c r="C155" s="30">
        <f t="shared" si="28"/>
        <v>5819</v>
      </c>
      <c r="D155" s="52"/>
      <c r="E155" s="52"/>
      <c r="F155" s="52"/>
      <c r="G155" s="52"/>
      <c r="H155" s="52"/>
      <c r="I155" s="30"/>
      <c r="J155" s="30"/>
      <c r="K155" s="30"/>
      <c r="L155" s="30"/>
      <c r="M155" s="30"/>
      <c r="N155" s="30"/>
      <c r="O155" s="30">
        <v>5819</v>
      </c>
    </row>
    <row r="156" spans="1:15" ht="25.5">
      <c r="A156" s="28">
        <v>20</v>
      </c>
      <c r="B156" s="29" t="s">
        <v>34</v>
      </c>
      <c r="C156" s="30">
        <f t="shared" si="28"/>
        <v>11050</v>
      </c>
      <c r="D156" s="30"/>
      <c r="E156" s="52"/>
      <c r="F156" s="52"/>
      <c r="G156" s="30"/>
      <c r="H156" s="30"/>
      <c r="I156" s="30"/>
      <c r="J156" s="30"/>
      <c r="K156" s="30"/>
      <c r="L156" s="30"/>
      <c r="M156" s="30">
        <v>4420</v>
      </c>
      <c r="N156" s="152"/>
      <c r="O156" s="152">
        <v>6630</v>
      </c>
    </row>
    <row r="157" spans="1:15" ht="12.75">
      <c r="A157" s="28">
        <v>22</v>
      </c>
      <c r="B157" s="29" t="s">
        <v>160</v>
      </c>
      <c r="C157" s="30">
        <f t="shared" si="28"/>
        <v>25320</v>
      </c>
      <c r="D157" s="53">
        <f>SUM(D158:D159)</f>
        <v>4830</v>
      </c>
      <c r="E157" s="53">
        <f aca="true" t="shared" si="48" ref="E157:O157">SUM(E158:E159)</f>
        <v>4830</v>
      </c>
      <c r="F157" s="53">
        <f t="shared" si="48"/>
        <v>4830</v>
      </c>
      <c r="G157" s="53">
        <f t="shared" si="48"/>
        <v>4830</v>
      </c>
      <c r="H157" s="53">
        <f t="shared" si="48"/>
        <v>6000</v>
      </c>
      <c r="I157" s="53">
        <f t="shared" si="48"/>
        <v>0</v>
      </c>
      <c r="J157" s="53">
        <f t="shared" si="48"/>
        <v>0</v>
      </c>
      <c r="K157" s="53">
        <f t="shared" si="48"/>
        <v>0</v>
      </c>
      <c r="L157" s="53">
        <f t="shared" si="48"/>
        <v>0</v>
      </c>
      <c r="M157" s="53">
        <f t="shared" si="48"/>
        <v>0</v>
      </c>
      <c r="N157" s="53">
        <f t="shared" si="48"/>
        <v>0</v>
      </c>
      <c r="O157" s="53">
        <f t="shared" si="48"/>
        <v>0</v>
      </c>
    </row>
    <row r="158" spans="1:15" ht="12.75">
      <c r="A158" s="28"/>
      <c r="B158" s="51" t="s">
        <v>161</v>
      </c>
      <c r="C158" s="10">
        <f t="shared" si="28"/>
        <v>24150</v>
      </c>
      <c r="D158" s="10">
        <v>4830</v>
      </c>
      <c r="E158" s="10">
        <v>4830</v>
      </c>
      <c r="F158" s="10">
        <v>4830</v>
      </c>
      <c r="G158" s="10">
        <v>4830</v>
      </c>
      <c r="H158" s="11">
        <v>4830</v>
      </c>
      <c r="I158" s="10"/>
      <c r="J158" s="10"/>
      <c r="K158" s="10"/>
      <c r="L158" s="10"/>
      <c r="M158" s="10"/>
      <c r="N158" s="10"/>
      <c r="O158" s="10"/>
    </row>
    <row r="159" spans="1:15" ht="12.75">
      <c r="A159" s="28"/>
      <c r="B159" s="51" t="s">
        <v>162</v>
      </c>
      <c r="C159" s="10">
        <f t="shared" si="28"/>
        <v>1170</v>
      </c>
      <c r="D159" s="10"/>
      <c r="E159" s="10"/>
      <c r="F159" s="10"/>
      <c r="G159" s="10"/>
      <c r="H159" s="11">
        <v>1170</v>
      </c>
      <c r="I159" s="10"/>
      <c r="J159" s="30"/>
      <c r="K159" s="30"/>
      <c r="L159" s="30"/>
      <c r="M159" s="30"/>
      <c r="N159" s="30"/>
      <c r="O159" s="30"/>
    </row>
    <row r="160" spans="1:15" ht="25.5">
      <c r="A160" s="28">
        <v>23</v>
      </c>
      <c r="B160" s="29" t="s">
        <v>35</v>
      </c>
      <c r="C160" s="30">
        <f t="shared" si="28"/>
        <v>35409.840000000004</v>
      </c>
      <c r="D160" s="30">
        <v>2950.82</v>
      </c>
      <c r="E160" s="30">
        <v>2950.82</v>
      </c>
      <c r="F160" s="30">
        <v>2950.82</v>
      </c>
      <c r="G160" s="30">
        <v>2950.82</v>
      </c>
      <c r="H160" s="30">
        <v>2950.82</v>
      </c>
      <c r="I160" s="30">
        <v>2950.82</v>
      </c>
      <c r="J160" s="30">
        <v>2950.82</v>
      </c>
      <c r="K160" s="30">
        <v>2950.82</v>
      </c>
      <c r="L160" s="30">
        <v>2950.82</v>
      </c>
      <c r="M160" s="30">
        <v>2950.82</v>
      </c>
      <c r="N160" s="152">
        <v>2950.82</v>
      </c>
      <c r="O160" s="152">
        <v>2950.82</v>
      </c>
    </row>
    <row r="161" spans="1:15" ht="25.5">
      <c r="A161" s="28">
        <v>24</v>
      </c>
      <c r="B161" s="29" t="s">
        <v>37</v>
      </c>
      <c r="C161" s="30">
        <f t="shared" si="28"/>
        <v>19681.699999999997</v>
      </c>
      <c r="D161" s="30">
        <f aca="true" t="shared" si="49" ref="D161:O161">SUM(D162:D162)</f>
        <v>684</v>
      </c>
      <c r="E161" s="30">
        <f t="shared" si="49"/>
        <v>1301</v>
      </c>
      <c r="F161" s="30">
        <f t="shared" si="49"/>
        <v>1327.75</v>
      </c>
      <c r="G161" s="30">
        <f t="shared" si="49"/>
        <v>1552.27</v>
      </c>
      <c r="H161" s="30">
        <f t="shared" si="49"/>
        <v>1505.4</v>
      </c>
      <c r="I161" s="30">
        <f t="shared" si="49"/>
        <v>1343.05</v>
      </c>
      <c r="J161" s="30">
        <f t="shared" si="49"/>
        <v>1525.1</v>
      </c>
      <c r="K161" s="30">
        <f t="shared" si="49"/>
        <v>1393.25</v>
      </c>
      <c r="L161" s="30">
        <f t="shared" si="49"/>
        <v>1398.64</v>
      </c>
      <c r="M161" s="30">
        <f t="shared" si="49"/>
        <v>1583.7</v>
      </c>
      <c r="N161" s="30">
        <f t="shared" si="49"/>
        <v>3499.94</v>
      </c>
      <c r="O161" s="30">
        <f t="shared" si="49"/>
        <v>2567.6</v>
      </c>
    </row>
    <row r="162" spans="1:15" ht="12.75">
      <c r="A162" s="28"/>
      <c r="B162" s="51" t="s">
        <v>40</v>
      </c>
      <c r="C162" s="10">
        <f t="shared" si="28"/>
        <v>19681.699999999997</v>
      </c>
      <c r="D162" s="10">
        <v>684</v>
      </c>
      <c r="E162" s="11">
        <v>1301</v>
      </c>
      <c r="F162" s="10">
        <v>1327.75</v>
      </c>
      <c r="G162" s="10">
        <v>1552.27</v>
      </c>
      <c r="H162" s="10">
        <v>1505.4</v>
      </c>
      <c r="I162" s="10">
        <v>1343.05</v>
      </c>
      <c r="J162" s="10">
        <v>1525.1</v>
      </c>
      <c r="K162" s="10">
        <v>1393.25</v>
      </c>
      <c r="L162" s="10">
        <v>1398.64</v>
      </c>
      <c r="M162" s="10">
        <v>1583.7</v>
      </c>
      <c r="N162" s="10">
        <v>3499.94</v>
      </c>
      <c r="O162" s="10">
        <v>2567.6</v>
      </c>
    </row>
    <row r="163" spans="1:15" ht="12.75">
      <c r="A163" s="28">
        <v>25</v>
      </c>
      <c r="B163" s="29" t="s">
        <v>156</v>
      </c>
      <c r="C163" s="30">
        <f>SUM(D163:O163)</f>
        <v>112815.93</v>
      </c>
      <c r="D163" s="30">
        <f>SUM(D164:D169)</f>
        <v>8200</v>
      </c>
      <c r="E163" s="30">
        <f aca="true" t="shared" si="50" ref="E163:O163">SUM(E164:E169)</f>
        <v>2200</v>
      </c>
      <c r="F163" s="30">
        <f t="shared" si="50"/>
        <v>2200</v>
      </c>
      <c r="G163" s="30">
        <f t="shared" si="50"/>
        <v>47906.53</v>
      </c>
      <c r="H163" s="30">
        <f t="shared" si="50"/>
        <v>2200</v>
      </c>
      <c r="I163" s="30">
        <f t="shared" si="50"/>
        <v>2200</v>
      </c>
      <c r="J163" s="30">
        <f t="shared" si="50"/>
        <v>2200</v>
      </c>
      <c r="K163" s="30">
        <f t="shared" si="50"/>
        <v>2200</v>
      </c>
      <c r="L163" s="30">
        <f t="shared" si="50"/>
        <v>2200</v>
      </c>
      <c r="M163" s="30">
        <f>SUM(M164:M169)</f>
        <v>36909.4</v>
      </c>
      <c r="N163" s="30">
        <f t="shared" si="50"/>
        <v>2200</v>
      </c>
      <c r="O163" s="30">
        <f t="shared" si="50"/>
        <v>2200</v>
      </c>
    </row>
    <row r="164" spans="1:15" ht="25.5">
      <c r="A164" s="28"/>
      <c r="B164" s="51" t="s">
        <v>373</v>
      </c>
      <c r="C164" s="10">
        <f t="shared" si="28"/>
        <v>34709.4</v>
      </c>
      <c r="D164" s="30"/>
      <c r="E164" s="30"/>
      <c r="F164" s="30"/>
      <c r="G164" s="10"/>
      <c r="H164" s="30"/>
      <c r="I164" s="30"/>
      <c r="J164" s="30"/>
      <c r="K164" s="30"/>
      <c r="L164" s="30"/>
      <c r="M164" s="10">
        <v>34709.4</v>
      </c>
      <c r="N164" s="30"/>
      <c r="O164" s="30"/>
    </row>
    <row r="165" spans="1:15" ht="12.75">
      <c r="A165" s="28"/>
      <c r="B165" s="51" t="s">
        <v>218</v>
      </c>
      <c r="C165" s="10">
        <f t="shared" si="28"/>
        <v>6000</v>
      </c>
      <c r="D165" s="10">
        <v>6000</v>
      </c>
      <c r="E165" s="30"/>
      <c r="F165" s="30"/>
      <c r="G165" s="10"/>
      <c r="H165" s="30"/>
      <c r="I165" s="30"/>
      <c r="J165" s="30"/>
      <c r="K165" s="30"/>
      <c r="L165" s="30"/>
      <c r="M165" s="30"/>
      <c r="N165" s="10"/>
      <c r="O165" s="30"/>
    </row>
    <row r="166" spans="1:15" ht="63.75">
      <c r="A166" s="28"/>
      <c r="B166" s="51" t="s">
        <v>378</v>
      </c>
      <c r="C166" s="10">
        <f t="shared" si="28"/>
        <v>29706.53</v>
      </c>
      <c r="D166" s="30"/>
      <c r="E166" s="30"/>
      <c r="F166" s="30"/>
      <c r="G166" s="10">
        <v>29706.53</v>
      </c>
      <c r="H166" s="30"/>
      <c r="I166" s="30"/>
      <c r="J166" s="30"/>
      <c r="K166" s="30"/>
      <c r="L166" s="30"/>
      <c r="M166" s="30"/>
      <c r="N166" s="10"/>
      <c r="O166" s="30"/>
    </row>
    <row r="167" spans="1:15" ht="51">
      <c r="A167" s="28"/>
      <c r="B167" s="51" t="s">
        <v>241</v>
      </c>
      <c r="C167" s="10">
        <f t="shared" si="28"/>
        <v>26400</v>
      </c>
      <c r="D167" s="10">
        <v>2200</v>
      </c>
      <c r="E167" s="10">
        <v>2200</v>
      </c>
      <c r="F167" s="10">
        <v>2200</v>
      </c>
      <c r="G167" s="10">
        <v>2200</v>
      </c>
      <c r="H167" s="10">
        <v>2200</v>
      </c>
      <c r="I167" s="10">
        <v>2200</v>
      </c>
      <c r="J167" s="10">
        <v>2200</v>
      </c>
      <c r="K167" s="10">
        <v>2200</v>
      </c>
      <c r="L167" s="10">
        <v>2200</v>
      </c>
      <c r="M167" s="10">
        <v>2200</v>
      </c>
      <c r="N167" s="143">
        <v>2200</v>
      </c>
      <c r="O167" s="143">
        <v>2200</v>
      </c>
    </row>
    <row r="168" spans="1:15" ht="63.75">
      <c r="A168" s="28"/>
      <c r="B168" s="51" t="s">
        <v>372</v>
      </c>
      <c r="C168" s="10">
        <f t="shared" si="28"/>
        <v>0</v>
      </c>
      <c r="D168" s="10"/>
      <c r="E168" s="10"/>
      <c r="F168" s="10"/>
      <c r="G168" s="10"/>
      <c r="H168" s="30"/>
      <c r="I168" s="30"/>
      <c r="J168" s="30"/>
      <c r="K168" s="30"/>
      <c r="L168" s="30"/>
      <c r="M168" s="10"/>
      <c r="N168" s="10"/>
      <c r="O168" s="30"/>
    </row>
    <row r="169" spans="1:15" ht="25.5">
      <c r="A169" s="28"/>
      <c r="B169" s="51" t="s">
        <v>377</v>
      </c>
      <c r="C169" s="10">
        <f t="shared" si="28"/>
        <v>16000</v>
      </c>
      <c r="D169" s="30"/>
      <c r="E169" s="30"/>
      <c r="F169" s="30"/>
      <c r="G169" s="10">
        <v>16000</v>
      </c>
      <c r="H169" s="30"/>
      <c r="I169" s="30"/>
      <c r="J169" s="30"/>
      <c r="K169" s="30"/>
      <c r="L169" s="10"/>
      <c r="M169" s="10"/>
      <c r="N169" s="10"/>
      <c r="O169" s="30"/>
    </row>
    <row r="170" spans="1:15" ht="38.25">
      <c r="A170" s="28">
        <v>26</v>
      </c>
      <c r="B170" s="29" t="s">
        <v>38</v>
      </c>
      <c r="C170" s="30">
        <f t="shared" si="28"/>
        <v>1200</v>
      </c>
      <c r="D170" s="30">
        <v>100</v>
      </c>
      <c r="E170" s="30">
        <v>100</v>
      </c>
      <c r="F170" s="30">
        <v>100</v>
      </c>
      <c r="G170" s="30">
        <v>100</v>
      </c>
      <c r="H170" s="30">
        <v>100</v>
      </c>
      <c r="I170" s="30">
        <v>100</v>
      </c>
      <c r="J170" s="30">
        <v>100</v>
      </c>
      <c r="K170" s="30">
        <v>100</v>
      </c>
      <c r="L170" s="30">
        <v>100</v>
      </c>
      <c r="M170" s="30">
        <v>100</v>
      </c>
      <c r="N170" s="30">
        <v>100</v>
      </c>
      <c r="O170" s="152">
        <v>100</v>
      </c>
    </row>
    <row r="171" spans="1:15" ht="38.25">
      <c r="A171" s="28">
        <v>27</v>
      </c>
      <c r="B171" s="29" t="s">
        <v>36</v>
      </c>
      <c r="C171" s="30">
        <f t="shared" si="28"/>
        <v>8717.280000000002</v>
      </c>
      <c r="D171" s="30">
        <f>D172</f>
        <v>726.44</v>
      </c>
      <c r="E171" s="30">
        <f aca="true" t="shared" si="51" ref="E171:O171">E172</f>
        <v>726.44</v>
      </c>
      <c r="F171" s="30">
        <f t="shared" si="51"/>
        <v>726.44</v>
      </c>
      <c r="G171" s="30">
        <f t="shared" si="51"/>
        <v>726.44</v>
      </c>
      <c r="H171" s="30">
        <f t="shared" si="51"/>
        <v>726.44</v>
      </c>
      <c r="I171" s="30">
        <f t="shared" si="51"/>
        <v>726.44</v>
      </c>
      <c r="J171" s="30">
        <f t="shared" si="51"/>
        <v>726.44</v>
      </c>
      <c r="K171" s="30">
        <f t="shared" si="51"/>
        <v>726.44</v>
      </c>
      <c r="L171" s="30">
        <f t="shared" si="51"/>
        <v>726.44</v>
      </c>
      <c r="M171" s="30">
        <f t="shared" si="51"/>
        <v>726.44</v>
      </c>
      <c r="N171" s="30">
        <f t="shared" si="51"/>
        <v>726.44</v>
      </c>
      <c r="O171" s="30">
        <f t="shared" si="51"/>
        <v>726.44</v>
      </c>
    </row>
    <row r="172" spans="1:15" ht="25.5">
      <c r="A172" s="28"/>
      <c r="B172" s="51" t="s">
        <v>292</v>
      </c>
      <c r="C172" s="10">
        <f t="shared" si="28"/>
        <v>8717.280000000002</v>
      </c>
      <c r="D172" s="10">
        <v>726.44</v>
      </c>
      <c r="E172" s="10">
        <v>726.44</v>
      </c>
      <c r="F172" s="10">
        <v>726.44</v>
      </c>
      <c r="G172" s="10">
        <v>726.44</v>
      </c>
      <c r="H172" s="10">
        <v>726.44</v>
      </c>
      <c r="I172" s="10">
        <v>726.44</v>
      </c>
      <c r="J172" s="10">
        <v>726.44</v>
      </c>
      <c r="K172" s="10">
        <v>726.44</v>
      </c>
      <c r="L172" s="10">
        <v>726.44</v>
      </c>
      <c r="M172" s="143">
        <v>726.44</v>
      </c>
      <c r="N172" s="143">
        <v>726.44</v>
      </c>
      <c r="O172" s="143">
        <v>726.44</v>
      </c>
    </row>
    <row r="173" spans="1:15" ht="25.5">
      <c r="A173" s="28"/>
      <c r="B173" s="29" t="s">
        <v>381</v>
      </c>
      <c r="C173" s="30">
        <f t="shared" si="28"/>
        <v>5317.08</v>
      </c>
      <c r="D173" s="30"/>
      <c r="E173" s="30"/>
      <c r="F173" s="30"/>
      <c r="G173" s="30"/>
      <c r="H173" s="30"/>
      <c r="I173" s="30"/>
      <c r="J173" s="30"/>
      <c r="K173" s="30"/>
      <c r="L173" s="30">
        <v>1430.16</v>
      </c>
      <c r="M173" s="30"/>
      <c r="N173" s="30">
        <v>3886.92</v>
      </c>
      <c r="O173" s="152"/>
    </row>
    <row r="174" spans="1:15" ht="12.75">
      <c r="A174" s="28">
        <v>28</v>
      </c>
      <c r="B174" s="29" t="s">
        <v>278</v>
      </c>
      <c r="C174" s="30">
        <f t="shared" si="28"/>
        <v>6149</v>
      </c>
      <c r="D174" s="30"/>
      <c r="E174" s="30"/>
      <c r="F174" s="30"/>
      <c r="G174" s="30"/>
      <c r="H174" s="30">
        <v>6149</v>
      </c>
      <c r="I174" s="30"/>
      <c r="J174" s="30"/>
      <c r="K174" s="30"/>
      <c r="L174" s="30"/>
      <c r="M174" s="30"/>
      <c r="N174" s="30"/>
      <c r="O174" s="30"/>
    </row>
    <row r="175" spans="1:15" ht="25.5">
      <c r="A175" s="28">
        <v>29</v>
      </c>
      <c r="B175" s="29" t="s">
        <v>277</v>
      </c>
      <c r="C175" s="30">
        <f t="shared" si="28"/>
        <v>3475</v>
      </c>
      <c r="D175" s="30"/>
      <c r="E175" s="30"/>
      <c r="F175" s="30"/>
      <c r="G175" s="30">
        <v>3475</v>
      </c>
      <c r="H175" s="30"/>
      <c r="I175" s="30"/>
      <c r="J175" s="30"/>
      <c r="K175" s="30"/>
      <c r="L175" s="30"/>
      <c r="M175" s="30"/>
      <c r="N175" s="30"/>
      <c r="O175" s="30"/>
    </row>
    <row r="176" spans="1:15" ht="12.75">
      <c r="A176" s="28">
        <v>30</v>
      </c>
      <c r="B176" s="29" t="s">
        <v>280</v>
      </c>
      <c r="C176" s="30">
        <f t="shared" si="28"/>
        <v>7900.02</v>
      </c>
      <c r="D176" s="30"/>
      <c r="E176" s="30"/>
      <c r="F176" s="30"/>
      <c r="G176" s="30"/>
      <c r="H176" s="30"/>
      <c r="I176" s="30">
        <v>7900.02</v>
      </c>
      <c r="J176" s="30"/>
      <c r="K176" s="30"/>
      <c r="L176" s="30"/>
      <c r="M176" s="30"/>
      <c r="N176" s="30"/>
      <c r="O176" s="30"/>
    </row>
    <row r="177" spans="1:15" ht="25.5">
      <c r="A177" s="28">
        <v>31</v>
      </c>
      <c r="B177" s="29" t="s">
        <v>39</v>
      </c>
      <c r="C177" s="30">
        <f t="shared" si="28"/>
        <v>8650</v>
      </c>
      <c r="D177" s="30">
        <f>SUM(D178:D180)</f>
        <v>0</v>
      </c>
      <c r="E177" s="30">
        <f aca="true" t="shared" si="52" ref="E177:O177">SUM(E178:E180)</f>
        <v>0</v>
      </c>
      <c r="F177" s="30">
        <f t="shared" si="52"/>
        <v>0</v>
      </c>
      <c r="G177" s="30">
        <f t="shared" si="52"/>
        <v>0</v>
      </c>
      <c r="H177" s="30">
        <f t="shared" si="52"/>
        <v>0</v>
      </c>
      <c r="I177" s="30">
        <f t="shared" si="52"/>
        <v>0</v>
      </c>
      <c r="J177" s="30">
        <f t="shared" si="52"/>
        <v>0</v>
      </c>
      <c r="K177" s="30">
        <f t="shared" si="52"/>
        <v>4700</v>
      </c>
      <c r="L177" s="30">
        <f t="shared" si="52"/>
        <v>0</v>
      </c>
      <c r="M177" s="30">
        <f t="shared" si="52"/>
        <v>0</v>
      </c>
      <c r="N177" s="30">
        <f t="shared" si="52"/>
        <v>0</v>
      </c>
      <c r="O177" s="30">
        <f t="shared" si="52"/>
        <v>3950</v>
      </c>
    </row>
    <row r="178" spans="1:15" ht="25.5">
      <c r="A178" s="35"/>
      <c r="B178" s="51" t="s">
        <v>195</v>
      </c>
      <c r="C178" s="10">
        <f t="shared" si="28"/>
        <v>4700</v>
      </c>
      <c r="D178" s="10"/>
      <c r="E178" s="10"/>
      <c r="F178" s="11"/>
      <c r="G178" s="10"/>
      <c r="H178" s="10"/>
      <c r="I178" s="10"/>
      <c r="J178" s="10"/>
      <c r="K178" s="10">
        <v>4700</v>
      </c>
      <c r="L178" s="10"/>
      <c r="M178" s="10"/>
      <c r="N178" s="10"/>
      <c r="O178" s="10"/>
    </row>
    <row r="179" spans="1:15" ht="25.5">
      <c r="A179" s="35"/>
      <c r="B179" s="51" t="s">
        <v>41</v>
      </c>
      <c r="C179" s="10">
        <f t="shared" si="28"/>
        <v>3950</v>
      </c>
      <c r="D179" s="10"/>
      <c r="E179" s="10"/>
      <c r="F179" s="10"/>
      <c r="G179" s="10"/>
      <c r="H179" s="10"/>
      <c r="I179" s="10"/>
      <c r="J179" s="10"/>
      <c r="K179" s="10"/>
      <c r="L179" s="10"/>
      <c r="M179" s="10"/>
      <c r="N179" s="10"/>
      <c r="O179" s="10">
        <v>3950</v>
      </c>
    </row>
    <row r="180" spans="1:15" ht="25.5">
      <c r="A180" s="35"/>
      <c r="B180" s="51" t="s">
        <v>42</v>
      </c>
      <c r="C180" s="10">
        <f t="shared" si="28"/>
        <v>0</v>
      </c>
      <c r="D180" s="10"/>
      <c r="E180" s="10"/>
      <c r="F180" s="10"/>
      <c r="G180" s="10"/>
      <c r="H180" s="10"/>
      <c r="I180" s="10"/>
      <c r="J180" s="10"/>
      <c r="K180" s="10"/>
      <c r="L180" s="10"/>
      <c r="M180" s="10"/>
      <c r="N180" s="10"/>
      <c r="O180" s="10"/>
    </row>
    <row r="181" spans="1:15" ht="25.5">
      <c r="A181" s="28">
        <v>32</v>
      </c>
      <c r="B181" s="29" t="s">
        <v>281</v>
      </c>
      <c r="C181" s="30">
        <f>SUM(D181:O181)</f>
        <v>42220</v>
      </c>
      <c r="D181" s="30"/>
      <c r="E181" s="30"/>
      <c r="F181" s="30"/>
      <c r="G181" s="30"/>
      <c r="H181" s="30"/>
      <c r="I181" s="30">
        <f>42220</f>
        <v>42220</v>
      </c>
      <c r="J181" s="30"/>
      <c r="K181" s="30"/>
      <c r="L181" s="30"/>
      <c r="M181" s="30"/>
      <c r="N181" s="30"/>
      <c r="O181" s="30"/>
    </row>
    <row r="182" spans="1:15" s="25" customFormat="1" ht="25.5">
      <c r="A182" s="28">
        <v>33</v>
      </c>
      <c r="B182" s="29" t="s">
        <v>282</v>
      </c>
      <c r="C182" s="30">
        <f t="shared" si="28"/>
        <v>12860</v>
      </c>
      <c r="D182" s="30"/>
      <c r="E182" s="30"/>
      <c r="F182" s="30"/>
      <c r="G182" s="30"/>
      <c r="H182" s="30"/>
      <c r="I182" s="30">
        <v>12860</v>
      </c>
      <c r="J182" s="30"/>
      <c r="K182" s="30"/>
      <c r="L182" s="30"/>
      <c r="M182" s="30"/>
      <c r="N182" s="30"/>
      <c r="O182" s="30"/>
    </row>
    <row r="183" spans="1:15" ht="12.75">
      <c r="A183" s="28">
        <v>34</v>
      </c>
      <c r="B183" s="29" t="s">
        <v>157</v>
      </c>
      <c r="C183" s="30">
        <f t="shared" si="28"/>
        <v>8633.15</v>
      </c>
      <c r="D183" s="30">
        <v>702.05</v>
      </c>
      <c r="E183" s="30">
        <v>697.44</v>
      </c>
      <c r="F183" s="30">
        <v>713.89</v>
      </c>
      <c r="G183" s="30">
        <v>667.36</v>
      </c>
      <c r="H183" s="30">
        <v>648.8</v>
      </c>
      <c r="I183" s="30">
        <v>755.19</v>
      </c>
      <c r="J183" s="30">
        <v>741.65</v>
      </c>
      <c r="K183" s="30">
        <v>664.84</v>
      </c>
      <c r="L183" s="30">
        <v>727.9</v>
      </c>
      <c r="M183" s="30">
        <f>317.67+349.22</f>
        <v>666.8900000000001</v>
      </c>
      <c r="N183" s="152">
        <v>785.75</v>
      </c>
      <c r="O183" s="154">
        <v>861.39</v>
      </c>
    </row>
    <row r="184" spans="1:15" ht="12.75">
      <c r="A184" s="28">
        <v>35</v>
      </c>
      <c r="B184" s="29" t="s">
        <v>358</v>
      </c>
      <c r="C184" s="30">
        <f t="shared" si="28"/>
        <v>31696.3</v>
      </c>
      <c r="D184" s="30"/>
      <c r="E184" s="30"/>
      <c r="F184" s="30">
        <v>24480</v>
      </c>
      <c r="G184" s="30">
        <f>136.5+4513.3</f>
        <v>4649.8</v>
      </c>
      <c r="H184" s="30"/>
      <c r="I184" s="30"/>
      <c r="J184" s="30"/>
      <c r="K184" s="30"/>
      <c r="L184" s="30"/>
      <c r="M184" s="30">
        <v>2566.5</v>
      </c>
      <c r="N184" s="30"/>
      <c r="O184" s="30"/>
    </row>
    <row r="185" spans="1:15" ht="12.75">
      <c r="A185" s="28">
        <v>36</v>
      </c>
      <c r="B185" s="29" t="s">
        <v>154</v>
      </c>
      <c r="C185" s="30">
        <f>SUM(D185:O185)</f>
        <v>11816.5</v>
      </c>
      <c r="D185" s="30">
        <f>SUM(D186:D187)</f>
        <v>0</v>
      </c>
      <c r="E185" s="30">
        <f aca="true" t="shared" si="53" ref="E185:O185">SUM(E186:E187)</f>
        <v>0</v>
      </c>
      <c r="F185" s="30">
        <f t="shared" si="53"/>
        <v>0</v>
      </c>
      <c r="G185" s="30">
        <f t="shared" si="53"/>
        <v>0</v>
      </c>
      <c r="H185" s="30">
        <f t="shared" si="53"/>
        <v>0</v>
      </c>
      <c r="I185" s="30">
        <f t="shared" si="53"/>
        <v>0</v>
      </c>
      <c r="J185" s="30">
        <f t="shared" si="53"/>
        <v>11816.5</v>
      </c>
      <c r="K185" s="30">
        <f t="shared" si="53"/>
        <v>0</v>
      </c>
      <c r="L185" s="30">
        <f t="shared" si="53"/>
        <v>0</v>
      </c>
      <c r="M185" s="30">
        <f t="shared" si="53"/>
        <v>0</v>
      </c>
      <c r="N185" s="30">
        <f t="shared" si="53"/>
        <v>0</v>
      </c>
      <c r="O185" s="30">
        <f t="shared" si="53"/>
        <v>0</v>
      </c>
    </row>
    <row r="186" spans="1:15" ht="12.75">
      <c r="A186" s="35"/>
      <c r="B186" s="51" t="s">
        <v>164</v>
      </c>
      <c r="C186" s="10">
        <f t="shared" si="28"/>
        <v>0</v>
      </c>
      <c r="D186" s="10"/>
      <c r="E186" s="10"/>
      <c r="F186" s="10"/>
      <c r="G186" s="10"/>
      <c r="H186" s="10"/>
      <c r="I186" s="10"/>
      <c r="J186" s="10"/>
      <c r="K186" s="10"/>
      <c r="L186" s="10"/>
      <c r="M186" s="10"/>
      <c r="N186" s="10"/>
      <c r="O186" s="10"/>
    </row>
    <row r="187" spans="1:15" ht="12.75">
      <c r="A187" s="35"/>
      <c r="B187" s="51" t="s">
        <v>287</v>
      </c>
      <c r="C187" s="10">
        <f t="shared" si="28"/>
        <v>11816.5</v>
      </c>
      <c r="D187" s="10"/>
      <c r="E187" s="10"/>
      <c r="F187" s="10"/>
      <c r="G187" s="10"/>
      <c r="H187" s="10"/>
      <c r="I187" s="10"/>
      <c r="J187" s="10">
        <f>11246.5+570</f>
        <v>11816.5</v>
      </c>
      <c r="K187" s="10"/>
      <c r="L187" s="10"/>
      <c r="M187" s="10"/>
      <c r="N187" s="10"/>
      <c r="O187" s="10"/>
    </row>
    <row r="188" spans="1:15" ht="25.5">
      <c r="A188" s="28">
        <v>37</v>
      </c>
      <c r="B188" s="29" t="s">
        <v>165</v>
      </c>
      <c r="C188" s="30">
        <f t="shared" si="28"/>
        <v>151735.22999999998</v>
      </c>
      <c r="D188" s="30">
        <v>11364.25</v>
      </c>
      <c r="E188" s="30">
        <v>11364.25</v>
      </c>
      <c r="F188" s="30">
        <v>11364.25</v>
      </c>
      <c r="G188" s="30">
        <f>4000+11364.24</f>
        <v>15364.24</v>
      </c>
      <c r="H188" s="30">
        <v>11364.25</v>
      </c>
      <c r="I188" s="30">
        <v>11364.25</v>
      </c>
      <c r="J188" s="30">
        <v>11364.25</v>
      </c>
      <c r="K188" s="30">
        <v>11364.25</v>
      </c>
      <c r="L188" s="30">
        <v>14205.31</v>
      </c>
      <c r="M188" s="30">
        <v>14205.31</v>
      </c>
      <c r="N188" s="152">
        <v>14205.31</v>
      </c>
      <c r="O188" s="152">
        <v>14205.31</v>
      </c>
    </row>
    <row r="189" spans="1:15" ht="12.75">
      <c r="A189" s="28">
        <v>38</v>
      </c>
      <c r="B189" s="29" t="s">
        <v>285</v>
      </c>
      <c r="C189" s="30">
        <f t="shared" si="28"/>
        <v>23500</v>
      </c>
      <c r="D189" s="30"/>
      <c r="E189" s="30"/>
      <c r="F189" s="30"/>
      <c r="G189" s="30"/>
      <c r="H189" s="30"/>
      <c r="I189" s="30">
        <v>23500</v>
      </c>
      <c r="J189" s="30"/>
      <c r="K189" s="30"/>
      <c r="L189" s="30"/>
      <c r="M189" s="30"/>
      <c r="N189" s="30"/>
      <c r="O189" s="30"/>
    </row>
    <row r="190" spans="1:15" ht="25.5">
      <c r="A190" s="28">
        <v>39</v>
      </c>
      <c r="B190" s="29" t="s">
        <v>43</v>
      </c>
      <c r="C190" s="30">
        <f t="shared" si="28"/>
        <v>56762.38</v>
      </c>
      <c r="D190" s="30">
        <f>SUM(D191:D192)</f>
        <v>0</v>
      </c>
      <c r="E190" s="30">
        <f aca="true" t="shared" si="54" ref="E190:O190">SUM(E191:E192)</f>
        <v>0</v>
      </c>
      <c r="F190" s="30">
        <f t="shared" si="54"/>
        <v>7540.9</v>
      </c>
      <c r="G190" s="30">
        <f t="shared" si="54"/>
        <v>4128</v>
      </c>
      <c r="H190" s="30">
        <f t="shared" si="54"/>
        <v>8940.279999999999</v>
      </c>
      <c r="I190" s="30">
        <f t="shared" si="54"/>
        <v>0</v>
      </c>
      <c r="J190" s="30">
        <f t="shared" si="54"/>
        <v>0</v>
      </c>
      <c r="K190" s="30">
        <f t="shared" si="54"/>
        <v>0</v>
      </c>
      <c r="L190" s="30">
        <f t="shared" si="54"/>
        <v>0</v>
      </c>
      <c r="M190" s="30">
        <f t="shared" si="54"/>
        <v>26706</v>
      </c>
      <c r="N190" s="30">
        <f t="shared" si="54"/>
        <v>6946</v>
      </c>
      <c r="O190" s="30">
        <f t="shared" si="54"/>
        <v>2501.2</v>
      </c>
    </row>
    <row r="191" spans="1:15" ht="12.75">
      <c r="A191" s="35"/>
      <c r="B191" s="51" t="s">
        <v>53</v>
      </c>
      <c r="C191" s="10">
        <f t="shared" si="28"/>
        <v>35484.479999999996</v>
      </c>
      <c r="D191" s="10"/>
      <c r="E191" s="10"/>
      <c r="F191" s="10"/>
      <c r="G191" s="10">
        <f>1866+2262</f>
        <v>4128</v>
      </c>
      <c r="H191" s="10">
        <f>5332.28+798+2810</f>
        <v>8940.279999999999</v>
      </c>
      <c r="I191" s="10"/>
      <c r="J191" s="10"/>
      <c r="K191" s="10"/>
      <c r="L191" s="10"/>
      <c r="M191" s="10">
        <f>540+12429</f>
        <v>12969</v>
      </c>
      <c r="N191" s="31">
        <f>3505+3441</f>
        <v>6946</v>
      </c>
      <c r="O191" s="143">
        <v>2501.2</v>
      </c>
    </row>
    <row r="192" spans="1:15" ht="12.75">
      <c r="A192" s="35"/>
      <c r="B192" s="51" t="s">
        <v>270</v>
      </c>
      <c r="C192" s="10">
        <f t="shared" si="28"/>
        <v>21277.9</v>
      </c>
      <c r="D192" s="10"/>
      <c r="E192" s="10"/>
      <c r="F192" s="10">
        <v>7540.9</v>
      </c>
      <c r="G192" s="10"/>
      <c r="H192" s="10"/>
      <c r="I192" s="10"/>
      <c r="J192" s="10"/>
      <c r="K192" s="10"/>
      <c r="L192" s="10"/>
      <c r="M192" s="10">
        <v>13737</v>
      </c>
      <c r="N192" s="10"/>
      <c r="O192" s="10"/>
    </row>
    <row r="193" spans="1:15" ht="12.75">
      <c r="A193" s="28">
        <v>40</v>
      </c>
      <c r="B193" s="29" t="s">
        <v>275</v>
      </c>
      <c r="C193" s="30">
        <f t="shared" si="28"/>
        <v>2700</v>
      </c>
      <c r="D193" s="30"/>
      <c r="E193" s="30"/>
      <c r="F193" s="30">
        <v>2700</v>
      </c>
      <c r="G193" s="30"/>
      <c r="H193" s="30"/>
      <c r="I193" s="30"/>
      <c r="J193" s="30"/>
      <c r="K193" s="30"/>
      <c r="L193" s="30"/>
      <c r="M193" s="30"/>
      <c r="N193" s="30"/>
      <c r="O193" s="30"/>
    </row>
    <row r="194" spans="1:15" ht="25.5">
      <c r="A194" s="28">
        <v>41</v>
      </c>
      <c r="B194" s="29" t="s">
        <v>152</v>
      </c>
      <c r="C194" s="30">
        <f t="shared" si="28"/>
        <v>27500</v>
      </c>
      <c r="D194" s="30"/>
      <c r="E194" s="30"/>
      <c r="F194" s="30">
        <v>27500</v>
      </c>
      <c r="G194" s="30"/>
      <c r="H194" s="30"/>
      <c r="I194" s="30"/>
      <c r="J194" s="30"/>
      <c r="K194" s="30"/>
      <c r="L194" s="30"/>
      <c r="M194" s="30"/>
      <c r="N194" s="30"/>
      <c r="O194" s="30"/>
    </row>
    <row r="195" spans="1:15" ht="25.5">
      <c r="A195" s="28">
        <v>42</v>
      </c>
      <c r="B195" s="29" t="s">
        <v>153</v>
      </c>
      <c r="C195" s="30">
        <f t="shared" si="28"/>
        <v>28800</v>
      </c>
      <c r="D195" s="30"/>
      <c r="E195" s="30"/>
      <c r="F195" s="30">
        <v>28800</v>
      </c>
      <c r="G195" s="30"/>
      <c r="H195" s="30"/>
      <c r="I195" s="30"/>
      <c r="J195" s="30"/>
      <c r="K195" s="30"/>
      <c r="L195" s="30"/>
      <c r="M195" s="30"/>
      <c r="N195" s="30"/>
      <c r="O195" s="30"/>
    </row>
    <row r="196" spans="1:15" ht="25.5">
      <c r="A196" s="28">
        <v>43</v>
      </c>
      <c r="B196" s="29" t="s">
        <v>291</v>
      </c>
      <c r="C196" s="30">
        <f t="shared" si="28"/>
        <v>3500</v>
      </c>
      <c r="D196" s="30"/>
      <c r="E196" s="30"/>
      <c r="F196" s="30"/>
      <c r="G196" s="30"/>
      <c r="H196" s="30"/>
      <c r="I196" s="30"/>
      <c r="J196" s="30">
        <v>3500</v>
      </c>
      <c r="K196" s="30"/>
      <c r="L196" s="30"/>
      <c r="M196" s="30"/>
      <c r="N196" s="30"/>
      <c r="O196" s="30"/>
    </row>
    <row r="197" spans="1:15" ht="12.75">
      <c r="A197" s="28">
        <v>44</v>
      </c>
      <c r="B197" s="29" t="s">
        <v>193</v>
      </c>
      <c r="C197" s="30">
        <f t="shared" si="28"/>
        <v>76040</v>
      </c>
      <c r="D197" s="30">
        <f>D198+D199+D200</f>
        <v>0</v>
      </c>
      <c r="E197" s="30">
        <f aca="true" t="shared" si="55" ref="E197:O197">E198+E199+E200</f>
        <v>0</v>
      </c>
      <c r="F197" s="30">
        <f t="shared" si="55"/>
        <v>0</v>
      </c>
      <c r="G197" s="30">
        <f t="shared" si="55"/>
        <v>0</v>
      </c>
      <c r="H197" s="30">
        <f t="shared" si="55"/>
        <v>0</v>
      </c>
      <c r="I197" s="30">
        <f t="shared" si="55"/>
        <v>0</v>
      </c>
      <c r="J197" s="30">
        <f t="shared" si="55"/>
        <v>30000</v>
      </c>
      <c r="K197" s="30">
        <f t="shared" si="55"/>
        <v>0</v>
      </c>
      <c r="L197" s="30">
        <f t="shared" si="55"/>
        <v>31400</v>
      </c>
      <c r="M197" s="30">
        <f t="shared" si="55"/>
        <v>0</v>
      </c>
      <c r="N197" s="30">
        <f t="shared" si="55"/>
        <v>3860</v>
      </c>
      <c r="O197" s="30">
        <f t="shared" si="55"/>
        <v>10780</v>
      </c>
    </row>
    <row r="198" spans="1:15" ht="12.75">
      <c r="A198" s="35"/>
      <c r="B198" s="51" t="s">
        <v>53</v>
      </c>
      <c r="C198" s="10">
        <f t="shared" si="28"/>
        <v>40040</v>
      </c>
      <c r="D198" s="10"/>
      <c r="E198" s="10"/>
      <c r="F198" s="10"/>
      <c r="G198" s="10"/>
      <c r="H198" s="10"/>
      <c r="I198" s="10"/>
      <c r="J198" s="10"/>
      <c r="K198" s="10"/>
      <c r="L198" s="10">
        <v>31400</v>
      </c>
      <c r="M198" s="10"/>
      <c r="N198" s="143">
        <v>3860</v>
      </c>
      <c r="O198" s="143">
        <f>4280+500</f>
        <v>4780</v>
      </c>
    </row>
    <row r="199" spans="1:15" ht="38.25">
      <c r="A199" s="35"/>
      <c r="B199" s="51" t="s">
        <v>383</v>
      </c>
      <c r="C199" s="10">
        <f t="shared" si="28"/>
        <v>36000</v>
      </c>
      <c r="D199" s="10"/>
      <c r="E199" s="10"/>
      <c r="F199" s="10"/>
      <c r="G199" s="10"/>
      <c r="H199" s="10"/>
      <c r="I199" s="10"/>
      <c r="J199" s="10">
        <v>30000</v>
      </c>
      <c r="K199" s="10"/>
      <c r="L199" s="10"/>
      <c r="M199" s="10"/>
      <c r="N199" s="10"/>
      <c r="O199" s="143">
        <v>6000</v>
      </c>
    </row>
    <row r="200" spans="1:15" ht="25.5">
      <c r="A200" s="35"/>
      <c r="B200" s="51" t="s">
        <v>421</v>
      </c>
      <c r="C200" s="10">
        <f t="shared" si="28"/>
        <v>0</v>
      </c>
      <c r="D200" s="10"/>
      <c r="E200" s="10"/>
      <c r="F200" s="10"/>
      <c r="G200" s="10"/>
      <c r="H200" s="10"/>
      <c r="I200" s="10"/>
      <c r="J200" s="10"/>
      <c r="K200" s="10"/>
      <c r="L200" s="10"/>
      <c r="M200" s="10"/>
      <c r="N200" s="10"/>
      <c r="O200" s="143"/>
    </row>
    <row r="201" spans="1:15" ht="12.75">
      <c r="A201" s="28">
        <v>45</v>
      </c>
      <c r="B201" s="29" t="s">
        <v>274</v>
      </c>
      <c r="C201" s="30">
        <f t="shared" si="28"/>
        <v>6152.2</v>
      </c>
      <c r="D201" s="30"/>
      <c r="E201" s="30"/>
      <c r="F201" s="30">
        <v>6152.2</v>
      </c>
      <c r="G201" s="30"/>
      <c r="H201" s="30"/>
      <c r="I201" s="30"/>
      <c r="J201" s="30"/>
      <c r="K201" s="30"/>
      <c r="L201" s="30"/>
      <c r="M201" s="30"/>
      <c r="N201" s="30"/>
      <c r="O201" s="30"/>
    </row>
    <row r="202" spans="1:15" ht="12.75">
      <c r="A202" s="28">
        <v>46</v>
      </c>
      <c r="B202" s="29" t="s">
        <v>159</v>
      </c>
      <c r="C202" s="30">
        <f t="shared" si="28"/>
        <v>6770.219999999999</v>
      </c>
      <c r="D202" s="30"/>
      <c r="E202" s="30">
        <v>2575.96</v>
      </c>
      <c r="F202" s="30"/>
      <c r="G202" s="30"/>
      <c r="H202" s="30"/>
      <c r="I202" s="30">
        <v>1612.11</v>
      </c>
      <c r="J202" s="30"/>
      <c r="K202" s="30"/>
      <c r="L202" s="30"/>
      <c r="M202" s="30"/>
      <c r="N202" s="30">
        <v>2582.15</v>
      </c>
      <c r="O202" s="30"/>
    </row>
    <row r="203" spans="1:15" ht="12.75">
      <c r="A203" s="28">
        <v>47</v>
      </c>
      <c r="B203" s="29" t="s">
        <v>273</v>
      </c>
      <c r="C203" s="30">
        <f t="shared" si="28"/>
        <v>2950</v>
      </c>
      <c r="D203" s="30"/>
      <c r="E203" s="30"/>
      <c r="F203" s="30">
        <v>2950</v>
      </c>
      <c r="G203" s="30"/>
      <c r="H203" s="30"/>
      <c r="I203" s="30"/>
      <c r="J203" s="30"/>
      <c r="K203" s="30"/>
      <c r="L203" s="30"/>
      <c r="M203" s="30"/>
      <c r="N203" s="30"/>
      <c r="O203" s="30"/>
    </row>
    <row r="204" spans="1:15" ht="12.75">
      <c r="A204" s="28">
        <v>48</v>
      </c>
      <c r="B204" s="29" t="s">
        <v>289</v>
      </c>
      <c r="C204" s="30">
        <f aca="true" t="shared" si="56" ref="C204:C247">SUM(D204:O204)</f>
        <v>15000</v>
      </c>
      <c r="D204" s="30">
        <f>D205</f>
        <v>0</v>
      </c>
      <c r="E204" s="30">
        <f aca="true" t="shared" si="57" ref="E204:O204">E205</f>
        <v>0</v>
      </c>
      <c r="F204" s="30">
        <f t="shared" si="57"/>
        <v>0</v>
      </c>
      <c r="G204" s="30">
        <f t="shared" si="57"/>
        <v>0</v>
      </c>
      <c r="H204" s="30">
        <f t="shared" si="57"/>
        <v>0</v>
      </c>
      <c r="I204" s="30">
        <f t="shared" si="57"/>
        <v>0</v>
      </c>
      <c r="J204" s="30">
        <f t="shared" si="57"/>
        <v>15000</v>
      </c>
      <c r="K204" s="30">
        <f t="shared" si="57"/>
        <v>0</v>
      </c>
      <c r="L204" s="30">
        <f t="shared" si="57"/>
        <v>0</v>
      </c>
      <c r="M204" s="30">
        <f t="shared" si="57"/>
        <v>0</v>
      </c>
      <c r="N204" s="30">
        <f t="shared" si="57"/>
        <v>0</v>
      </c>
      <c r="O204" s="30">
        <f t="shared" si="57"/>
        <v>0</v>
      </c>
    </row>
    <row r="205" spans="1:15" ht="12.75">
      <c r="A205" s="28"/>
      <c r="B205" s="51" t="s">
        <v>290</v>
      </c>
      <c r="C205" s="10">
        <f t="shared" si="56"/>
        <v>15000</v>
      </c>
      <c r="D205" s="30"/>
      <c r="E205" s="30"/>
      <c r="F205" s="30"/>
      <c r="G205" s="30"/>
      <c r="H205" s="30"/>
      <c r="I205" s="30"/>
      <c r="J205" s="10">
        <v>15000</v>
      </c>
      <c r="K205" s="30"/>
      <c r="L205" s="30"/>
      <c r="M205" s="30"/>
      <c r="N205" s="30"/>
      <c r="O205" s="30"/>
    </row>
    <row r="206" spans="1:15" ht="25.5">
      <c r="A206" s="28">
        <v>49</v>
      </c>
      <c r="B206" s="29" t="s">
        <v>44</v>
      </c>
      <c r="C206" s="30">
        <f t="shared" si="56"/>
        <v>5100</v>
      </c>
      <c r="D206" s="30"/>
      <c r="E206" s="30"/>
      <c r="F206" s="30">
        <v>3000</v>
      </c>
      <c r="G206" s="30">
        <v>2100</v>
      </c>
      <c r="H206" s="30"/>
      <c r="I206" s="30"/>
      <c r="J206" s="30"/>
      <c r="K206" s="30"/>
      <c r="L206" s="30"/>
      <c r="M206" s="30"/>
      <c r="N206" s="30"/>
      <c r="O206" s="30"/>
    </row>
    <row r="207" spans="1:15" ht="12.75">
      <c r="A207" s="28">
        <v>50</v>
      </c>
      <c r="B207" s="29" t="s">
        <v>297</v>
      </c>
      <c r="C207" s="30">
        <f t="shared" si="56"/>
        <v>30000</v>
      </c>
      <c r="D207" s="30">
        <f aca="true" t="shared" si="58" ref="D207:O207">SUM(D208:D208)</f>
        <v>0</v>
      </c>
      <c r="E207" s="30">
        <f t="shared" si="58"/>
        <v>0</v>
      </c>
      <c r="F207" s="30">
        <f t="shared" si="58"/>
        <v>0</v>
      </c>
      <c r="G207" s="30">
        <f t="shared" si="58"/>
        <v>0</v>
      </c>
      <c r="H207" s="30">
        <f t="shared" si="58"/>
        <v>0</v>
      </c>
      <c r="I207" s="30">
        <f t="shared" si="58"/>
        <v>0</v>
      </c>
      <c r="J207" s="30">
        <f t="shared" si="58"/>
        <v>0</v>
      </c>
      <c r="K207" s="30">
        <f t="shared" si="58"/>
        <v>0</v>
      </c>
      <c r="L207" s="30">
        <f t="shared" si="58"/>
        <v>0</v>
      </c>
      <c r="M207" s="30">
        <f t="shared" si="58"/>
        <v>30000</v>
      </c>
      <c r="N207" s="30">
        <f t="shared" si="58"/>
        <v>0</v>
      </c>
      <c r="O207" s="30">
        <f t="shared" si="58"/>
        <v>0</v>
      </c>
    </row>
    <row r="208" spans="1:15" ht="12.75">
      <c r="A208" s="28"/>
      <c r="B208" s="51" t="s">
        <v>298</v>
      </c>
      <c r="C208" s="10">
        <f t="shared" si="56"/>
        <v>30000</v>
      </c>
      <c r="D208" s="30"/>
      <c r="E208" s="30"/>
      <c r="F208" s="30"/>
      <c r="G208" s="30"/>
      <c r="H208" s="30"/>
      <c r="I208" s="30"/>
      <c r="J208" s="30"/>
      <c r="K208" s="30"/>
      <c r="L208" s="30"/>
      <c r="M208" s="10">
        <v>30000</v>
      </c>
      <c r="N208" s="10"/>
      <c r="O208" s="30"/>
    </row>
    <row r="209" spans="1:15" ht="25.5">
      <c r="A209" s="28">
        <v>51</v>
      </c>
      <c r="B209" s="29" t="s">
        <v>150</v>
      </c>
      <c r="C209" s="30">
        <f>SUM(D209:O209)</f>
        <v>25100</v>
      </c>
      <c r="D209" s="30"/>
      <c r="E209" s="30"/>
      <c r="F209" s="30">
        <f>12800+6000</f>
        <v>18800</v>
      </c>
      <c r="G209" s="30"/>
      <c r="H209" s="30"/>
      <c r="I209" s="30"/>
      <c r="J209" s="30"/>
      <c r="K209" s="30"/>
      <c r="L209" s="30"/>
      <c r="M209" s="30"/>
      <c r="N209" s="30">
        <v>6300</v>
      </c>
      <c r="O209" s="30"/>
    </row>
    <row r="210" spans="1:15" s="25" customFormat="1" ht="12.75">
      <c r="A210" s="28">
        <v>52</v>
      </c>
      <c r="B210" s="29" t="s">
        <v>239</v>
      </c>
      <c r="C210" s="30">
        <f>SUM(D210:O210)</f>
        <v>75000</v>
      </c>
      <c r="D210" s="30">
        <f aca="true" t="shared" si="59" ref="D210:O210">SUM(D211:D211)</f>
        <v>7500</v>
      </c>
      <c r="E210" s="30">
        <f t="shared" si="59"/>
        <v>7500</v>
      </c>
      <c r="F210" s="30">
        <f t="shared" si="59"/>
        <v>7500</v>
      </c>
      <c r="G210" s="30">
        <f t="shared" si="59"/>
        <v>7500</v>
      </c>
      <c r="H210" s="30">
        <f t="shared" si="59"/>
        <v>4500</v>
      </c>
      <c r="I210" s="30">
        <f t="shared" si="59"/>
        <v>4500</v>
      </c>
      <c r="J210" s="30">
        <f t="shared" si="59"/>
        <v>4500</v>
      </c>
      <c r="K210" s="30">
        <f t="shared" si="59"/>
        <v>4500</v>
      </c>
      <c r="L210" s="30">
        <f t="shared" si="59"/>
        <v>4500</v>
      </c>
      <c r="M210" s="30">
        <f t="shared" si="59"/>
        <v>7500</v>
      </c>
      <c r="N210" s="30">
        <f t="shared" si="59"/>
        <v>7500</v>
      </c>
      <c r="O210" s="30">
        <f t="shared" si="59"/>
        <v>7500</v>
      </c>
    </row>
    <row r="211" spans="1:15" ht="25.5">
      <c r="A211" s="35"/>
      <c r="B211" s="51" t="s">
        <v>240</v>
      </c>
      <c r="C211" s="10">
        <f>SUM(D211:O211)</f>
        <v>75000</v>
      </c>
      <c r="D211" s="10">
        <v>7500</v>
      </c>
      <c r="E211" s="10">
        <v>7500</v>
      </c>
      <c r="F211" s="10">
        <v>7500</v>
      </c>
      <c r="G211" s="10">
        <v>7500</v>
      </c>
      <c r="H211" s="10">
        <v>4500</v>
      </c>
      <c r="I211" s="10">
        <v>4500</v>
      </c>
      <c r="J211" s="10">
        <v>4500</v>
      </c>
      <c r="K211" s="10">
        <v>4500</v>
      </c>
      <c r="L211" s="10">
        <v>4500</v>
      </c>
      <c r="M211" s="10">
        <v>7500</v>
      </c>
      <c r="N211" s="143">
        <v>7500</v>
      </c>
      <c r="O211" s="143">
        <v>7500</v>
      </c>
    </row>
    <row r="212" spans="1:15" s="25" customFormat="1" ht="25.5">
      <c r="A212" s="28">
        <v>53</v>
      </c>
      <c r="B212" s="29" t="s">
        <v>151</v>
      </c>
      <c r="C212" s="30">
        <f t="shared" si="56"/>
        <v>31536</v>
      </c>
      <c r="D212" s="30">
        <v>2628</v>
      </c>
      <c r="E212" s="30">
        <v>2628</v>
      </c>
      <c r="F212" s="30">
        <v>2628</v>
      </c>
      <c r="G212" s="30">
        <v>2628</v>
      </c>
      <c r="H212" s="30">
        <v>2628</v>
      </c>
      <c r="I212" s="30">
        <v>2628</v>
      </c>
      <c r="J212" s="30">
        <v>2628</v>
      </c>
      <c r="K212" s="30">
        <v>2628</v>
      </c>
      <c r="L212" s="30">
        <v>2628</v>
      </c>
      <c r="M212" s="30">
        <v>2628</v>
      </c>
      <c r="N212" s="152">
        <v>2628</v>
      </c>
      <c r="O212" s="152">
        <v>2628</v>
      </c>
    </row>
    <row r="213" spans="1:15" s="25" customFormat="1" ht="12.75">
      <c r="A213" s="28">
        <v>54</v>
      </c>
      <c r="B213" s="29" t="s">
        <v>272</v>
      </c>
      <c r="C213" s="30">
        <f t="shared" si="56"/>
        <v>11521.46</v>
      </c>
      <c r="D213" s="30"/>
      <c r="E213" s="30"/>
      <c r="F213" s="30">
        <v>11521.46</v>
      </c>
      <c r="G213" s="30"/>
      <c r="H213" s="30"/>
      <c r="I213" s="30"/>
      <c r="J213" s="30"/>
      <c r="K213" s="30"/>
      <c r="L213" s="30"/>
      <c r="M213" s="30"/>
      <c r="N213" s="30"/>
      <c r="O213" s="30"/>
    </row>
    <row r="214" spans="1:15" ht="12.75">
      <c r="A214" s="28">
        <v>55</v>
      </c>
      <c r="B214" s="29" t="s">
        <v>269</v>
      </c>
      <c r="C214" s="30">
        <f t="shared" si="56"/>
        <v>32814.3</v>
      </c>
      <c r="D214" s="30"/>
      <c r="E214" s="30">
        <f>5108+8505+3398</f>
        <v>17011</v>
      </c>
      <c r="F214" s="30">
        <f>2618</f>
        <v>2618</v>
      </c>
      <c r="G214" s="30">
        <v>4500</v>
      </c>
      <c r="H214" s="30"/>
      <c r="I214" s="30"/>
      <c r="J214" s="30">
        <v>5778</v>
      </c>
      <c r="K214" s="30"/>
      <c r="L214" s="30"/>
      <c r="M214" s="30">
        <v>2907.3</v>
      </c>
      <c r="N214" s="30"/>
      <c r="O214" s="30"/>
    </row>
    <row r="215" spans="1:15" ht="12.75">
      <c r="A215" s="28">
        <v>56</v>
      </c>
      <c r="B215" s="29" t="s">
        <v>212</v>
      </c>
      <c r="C215" s="49">
        <f t="shared" si="56"/>
        <v>49400</v>
      </c>
      <c r="D215" s="49">
        <v>0</v>
      </c>
      <c r="E215" s="49">
        <v>0</v>
      </c>
      <c r="F215" s="49">
        <v>49400</v>
      </c>
      <c r="G215" s="49">
        <v>0</v>
      </c>
      <c r="H215" s="49">
        <v>0</v>
      </c>
      <c r="I215" s="49">
        <v>0</v>
      </c>
      <c r="J215" s="49">
        <v>0</v>
      </c>
      <c r="K215" s="49">
        <v>0</v>
      </c>
      <c r="L215" s="49">
        <v>0</v>
      </c>
      <c r="M215" s="49">
        <v>0</v>
      </c>
      <c r="N215" s="49">
        <v>0</v>
      </c>
      <c r="O215" s="49"/>
    </row>
    <row r="216" spans="1:15" s="25" customFormat="1" ht="12.75">
      <c r="A216" s="28">
        <v>57</v>
      </c>
      <c r="B216" s="67" t="s">
        <v>286</v>
      </c>
      <c r="C216" s="30">
        <f t="shared" si="56"/>
        <v>11100</v>
      </c>
      <c r="D216" s="30"/>
      <c r="E216" s="30"/>
      <c r="F216" s="30"/>
      <c r="G216" s="30"/>
      <c r="H216" s="30"/>
      <c r="I216" s="30">
        <f>3700+2900</f>
        <v>6600</v>
      </c>
      <c r="J216" s="30">
        <v>4500</v>
      </c>
      <c r="K216" s="30"/>
      <c r="L216" s="30"/>
      <c r="M216" s="30"/>
      <c r="N216" s="30"/>
      <c r="O216" s="30"/>
    </row>
    <row r="217" spans="1:15" s="25" customFormat="1" ht="12.75">
      <c r="A217" s="28">
        <v>58</v>
      </c>
      <c r="B217" s="67" t="s">
        <v>301</v>
      </c>
      <c r="C217" s="30">
        <f t="shared" si="56"/>
        <v>500</v>
      </c>
      <c r="D217" s="30"/>
      <c r="E217" s="30"/>
      <c r="F217" s="30"/>
      <c r="G217" s="30"/>
      <c r="H217" s="30"/>
      <c r="I217" s="30">
        <v>500</v>
      </c>
      <c r="J217" s="30"/>
      <c r="K217" s="30"/>
      <c r="L217" s="30"/>
      <c r="M217" s="30"/>
      <c r="N217" s="30"/>
      <c r="O217" s="30"/>
    </row>
    <row r="218" spans="1:15" ht="13.5" customHeight="1">
      <c r="A218" s="28">
        <v>59</v>
      </c>
      <c r="B218" s="29" t="s">
        <v>51</v>
      </c>
      <c r="C218" s="30">
        <f>SUM(D218:O218)</f>
        <v>135421.77</v>
      </c>
      <c r="D218" s="30">
        <f aca="true" t="shared" si="60" ref="D218:O218">SUM(D219:D239)</f>
        <v>1602.63</v>
      </c>
      <c r="E218" s="30">
        <f t="shared" si="60"/>
        <v>9537.9</v>
      </c>
      <c r="F218" s="30">
        <f t="shared" si="60"/>
        <v>8541.46</v>
      </c>
      <c r="G218" s="30">
        <f t="shared" si="60"/>
        <v>20352.699999999997</v>
      </c>
      <c r="H218" s="30">
        <f t="shared" si="60"/>
        <v>611.1</v>
      </c>
      <c r="I218" s="30">
        <f t="shared" si="60"/>
        <v>14478.850000000002</v>
      </c>
      <c r="J218" s="30">
        <f t="shared" si="60"/>
        <v>6770.61</v>
      </c>
      <c r="K218" s="30">
        <f t="shared" si="60"/>
        <v>2618.8900000000003</v>
      </c>
      <c r="L218" s="30">
        <f t="shared" si="60"/>
        <v>8289.7</v>
      </c>
      <c r="M218" s="30">
        <f t="shared" si="60"/>
        <v>11551.64</v>
      </c>
      <c r="N218" s="30">
        <f t="shared" si="60"/>
        <v>38397.29</v>
      </c>
      <c r="O218" s="30">
        <f t="shared" si="60"/>
        <v>12669</v>
      </c>
    </row>
    <row r="219" spans="1:17" ht="12.75">
      <c r="A219" s="28"/>
      <c r="B219" s="51" t="s">
        <v>170</v>
      </c>
      <c r="C219" s="10">
        <f t="shared" si="56"/>
        <v>175.65</v>
      </c>
      <c r="D219" s="10">
        <v>82.03</v>
      </c>
      <c r="E219" s="10"/>
      <c r="F219" s="10"/>
      <c r="G219" s="10"/>
      <c r="H219" s="10"/>
      <c r="I219" s="10"/>
      <c r="J219" s="10"/>
      <c r="K219" s="10"/>
      <c r="L219" s="10"/>
      <c r="M219" s="10"/>
      <c r="N219" s="10">
        <v>93.62</v>
      </c>
      <c r="O219" s="10"/>
      <c r="Q219" s="9"/>
    </row>
    <row r="220" spans="1:17" ht="38.25">
      <c r="A220" s="28"/>
      <c r="B220" s="51" t="s">
        <v>169</v>
      </c>
      <c r="C220" s="10">
        <f t="shared" si="56"/>
        <v>1541.1599999999999</v>
      </c>
      <c r="D220" s="10">
        <f>34+36.6</f>
        <v>70.6</v>
      </c>
      <c r="E220" s="10">
        <v>75</v>
      </c>
      <c r="F220" s="10">
        <f>208+208+89.06</f>
        <v>505.06</v>
      </c>
      <c r="G220" s="10"/>
      <c r="H220" s="10"/>
      <c r="I220" s="10">
        <v>67.5</v>
      </c>
      <c r="J220" s="10"/>
      <c r="K220" s="10"/>
      <c r="L220" s="10">
        <f>57</f>
        <v>57</v>
      </c>
      <c r="M220" s="10"/>
      <c r="N220" s="10">
        <f>40+86+640</f>
        <v>766</v>
      </c>
      <c r="O220" s="10"/>
      <c r="Q220" s="9"/>
    </row>
    <row r="221" spans="1:17" ht="12.75">
      <c r="A221" s="28"/>
      <c r="B221" s="51" t="s">
        <v>142</v>
      </c>
      <c r="C221" s="10">
        <f t="shared" si="56"/>
        <v>13000.26</v>
      </c>
      <c r="D221" s="10"/>
      <c r="E221" s="10"/>
      <c r="F221" s="10">
        <f>204+448+144</f>
        <v>796</v>
      </c>
      <c r="G221" s="10">
        <f>650+100</f>
        <v>750</v>
      </c>
      <c r="H221" s="10">
        <v>611.1</v>
      </c>
      <c r="I221" s="10">
        <f>460+143.5+196+51+235</f>
        <v>1085.5</v>
      </c>
      <c r="J221" s="10">
        <f>1029.58+1029.58+81+430.5</f>
        <v>2570.66</v>
      </c>
      <c r="K221" s="10"/>
      <c r="L221" s="10"/>
      <c r="M221" s="10">
        <f>410+228</f>
        <v>638</v>
      </c>
      <c r="N221" s="10">
        <f>4980</f>
        <v>4980</v>
      </c>
      <c r="O221" s="10">
        <f>599+970</f>
        <v>1569</v>
      </c>
      <c r="Q221" s="9"/>
    </row>
    <row r="222" spans="1:17" ht="30">
      <c r="A222" s="28"/>
      <c r="B222" s="68" t="s">
        <v>171</v>
      </c>
      <c r="C222" s="10">
        <f t="shared" si="56"/>
        <v>0</v>
      </c>
      <c r="D222" s="10"/>
      <c r="E222" s="10"/>
      <c r="F222" s="10"/>
      <c r="G222" s="10"/>
      <c r="H222" s="10"/>
      <c r="I222" s="10"/>
      <c r="J222" s="10"/>
      <c r="K222" s="10"/>
      <c r="L222" s="10"/>
      <c r="M222" s="10"/>
      <c r="N222" s="10"/>
      <c r="O222" s="10"/>
      <c r="Q222" s="9"/>
    </row>
    <row r="223" spans="1:17" ht="38.25">
      <c r="A223" s="28"/>
      <c r="B223" s="51" t="s">
        <v>167</v>
      </c>
      <c r="C223" s="10">
        <f t="shared" si="56"/>
        <v>28733.52</v>
      </c>
      <c r="D223" s="10">
        <f>550+550+300</f>
        <v>1400</v>
      </c>
      <c r="E223" s="10">
        <f>100+95+200+260+4</f>
        <v>659</v>
      </c>
      <c r="F223" s="10">
        <f>74</f>
        <v>74</v>
      </c>
      <c r="G223" s="10">
        <f>165+25+626+141+2+760+92</f>
        <v>1811</v>
      </c>
      <c r="H223" s="10"/>
      <c r="I223" s="10">
        <f>220+220+420+450+330</f>
        <v>1640</v>
      </c>
      <c r="J223" s="10">
        <f>185+5.25</f>
        <v>190.25</v>
      </c>
      <c r="K223" s="10">
        <f>210+225</f>
        <v>435</v>
      </c>
      <c r="L223" s="10">
        <f>31.1+28.7</f>
        <v>59.8</v>
      </c>
      <c r="M223" s="10">
        <f>20+300+90+371+316+500</f>
        <v>1597</v>
      </c>
      <c r="N223" s="10">
        <f>719.97+260+51+3+100+4900+32.5+480+3+200+225+203+150+240+6500</f>
        <v>14067.470000000001</v>
      </c>
      <c r="O223" s="10">
        <f>6800</f>
        <v>6800</v>
      </c>
      <c r="Q223" s="9"/>
    </row>
    <row r="224" spans="1:17" ht="38.25">
      <c r="A224" s="28"/>
      <c r="B224" s="51" t="s">
        <v>362</v>
      </c>
      <c r="C224" s="10">
        <f t="shared" si="56"/>
        <v>35353.18</v>
      </c>
      <c r="D224" s="10"/>
      <c r="E224" s="10">
        <v>150</v>
      </c>
      <c r="F224" s="103">
        <f>240+180+589+50+100</f>
        <v>1159</v>
      </c>
      <c r="G224" s="10">
        <f>240+307.5+89+69+307.5+1500+222.85+156.45+3300+500+440+342+280+120+75+48+38+38+77+88+150+115</f>
        <v>8503.3</v>
      </c>
      <c r="H224" s="10"/>
      <c r="I224" s="10">
        <f>140+50+65+1124.95+140+560+140+140+3+440</f>
        <v>2802.95</v>
      </c>
      <c r="J224" s="10">
        <f>440+83.7+753+39+230+290+119+298+210+60+160+3+440+500</f>
        <v>3625.7</v>
      </c>
      <c r="K224" s="10">
        <f>300+180+415+23.8+288.79+66+480+54+3+2</f>
        <v>1812.59</v>
      </c>
      <c r="L224" s="10">
        <f>2850+105+120+20+690+9+220+80+65+690+6+180+45+1000</f>
        <v>6080</v>
      </c>
      <c r="M224" s="10">
        <f>725+795+6+100+70+139+161.64+110+135+450</f>
        <v>2691.64</v>
      </c>
      <c r="N224" s="10">
        <f>220+12+45+15+950+950+450+450+230+20+16+1670</f>
        <v>5028</v>
      </c>
      <c r="O224" s="10">
        <v>3500</v>
      </c>
      <c r="Q224" s="9"/>
    </row>
    <row r="225" spans="1:17" ht="38.25">
      <c r="A225" s="28"/>
      <c r="B225" s="51" t="s">
        <v>363</v>
      </c>
      <c r="C225" s="10">
        <f t="shared" si="56"/>
        <v>745</v>
      </c>
      <c r="D225" s="10"/>
      <c r="E225" s="10"/>
      <c r="F225" s="10">
        <f>133+482+130</f>
        <v>745</v>
      </c>
      <c r="G225" s="10"/>
      <c r="H225" s="10"/>
      <c r="I225" s="10"/>
      <c r="J225" s="10"/>
      <c r="K225" s="10"/>
      <c r="L225" s="10"/>
      <c r="M225" s="10"/>
      <c r="N225" s="10"/>
      <c r="O225" s="10"/>
      <c r="Q225" s="9"/>
    </row>
    <row r="226" spans="1:17" ht="38.25">
      <c r="A226" s="28"/>
      <c r="B226" s="51" t="s">
        <v>364</v>
      </c>
      <c r="C226" s="10">
        <f t="shared" si="56"/>
        <v>2370</v>
      </c>
      <c r="D226" s="10"/>
      <c r="E226" s="10"/>
      <c r="F226" s="10"/>
      <c r="G226" s="10"/>
      <c r="H226" s="10"/>
      <c r="I226" s="10"/>
      <c r="J226" s="10"/>
      <c r="K226" s="10"/>
      <c r="L226" s="10"/>
      <c r="M226" s="10"/>
      <c r="N226" s="10">
        <f>230+1150+60+700+230</f>
        <v>2370</v>
      </c>
      <c r="O226" s="10"/>
      <c r="Q226" s="9"/>
    </row>
    <row r="227" spans="1:17" ht="51">
      <c r="A227" s="28"/>
      <c r="B227" s="51" t="s">
        <v>365</v>
      </c>
      <c r="C227" s="10">
        <f t="shared" si="56"/>
        <v>4250</v>
      </c>
      <c r="D227" s="10"/>
      <c r="E227" s="10"/>
      <c r="F227" s="10">
        <f>1000+1200</f>
        <v>2200</v>
      </c>
      <c r="G227" s="10"/>
      <c r="H227" s="10"/>
      <c r="I227" s="10"/>
      <c r="J227" s="10"/>
      <c r="K227" s="10">
        <v>250</v>
      </c>
      <c r="L227" s="10"/>
      <c r="M227" s="10"/>
      <c r="N227" s="10">
        <v>1000</v>
      </c>
      <c r="O227" s="10">
        <v>800</v>
      </c>
      <c r="Q227" s="9"/>
    </row>
    <row r="228" spans="1:17" ht="38.25">
      <c r="A228" s="28"/>
      <c r="B228" s="51" t="s">
        <v>205</v>
      </c>
      <c r="C228" s="10">
        <f t="shared" si="56"/>
        <v>49253</v>
      </c>
      <c r="D228" s="10">
        <v>50</v>
      </c>
      <c r="E228" s="10">
        <f>655+439.8+1517+66+615.5+2500+467+28+45+219.9+303.4+13.2+123.1+528+45+14+32+146+10+886</f>
        <v>8653.9</v>
      </c>
      <c r="F228" s="10">
        <f>1488+140.4+58+282+251+774+69</f>
        <v>3062.4</v>
      </c>
      <c r="G228" s="10">
        <f>2758+12+527.2+598.4+232+26.4+70.2+26+246.2+1054.4+1196.8+60.4+492.4+1092+896</f>
        <v>9288.399999999998</v>
      </c>
      <c r="H228" s="10"/>
      <c r="I228" s="10">
        <f>7701.1+310.8+355.5+15.1+500.4</f>
        <v>8882.900000000001</v>
      </c>
      <c r="J228" s="10">
        <f>129+140+115</f>
        <v>384</v>
      </c>
      <c r="K228" s="10">
        <f>58+63.3</f>
        <v>121.3</v>
      </c>
      <c r="L228" s="10">
        <f>197.3+310.8+178+48.8+454+170+360+104+270</f>
        <v>2092.9</v>
      </c>
      <c r="M228" s="10">
        <f>868+848+150+77+341+62.6+166+3570+83+88+371.4</f>
        <v>6625</v>
      </c>
      <c r="N228" s="10">
        <f>624+36.6+35+122+244+520.6+900+7610</f>
        <v>10092.2</v>
      </c>
      <c r="O228" s="10"/>
      <c r="Q228" s="9"/>
    </row>
    <row r="229" spans="1:17" ht="12.75">
      <c r="A229" s="28"/>
      <c r="B229" s="51" t="s">
        <v>166</v>
      </c>
      <c r="C229" s="10">
        <f t="shared" si="56"/>
        <v>0</v>
      </c>
      <c r="D229" s="10"/>
      <c r="E229" s="10"/>
      <c r="F229" s="10"/>
      <c r="G229" s="10"/>
      <c r="H229" s="10"/>
      <c r="I229" s="10"/>
      <c r="J229" s="10"/>
      <c r="K229" s="10"/>
      <c r="L229" s="10"/>
      <c r="M229" s="10"/>
      <c r="N229" s="10"/>
      <c r="O229" s="10"/>
      <c r="Q229" s="9"/>
    </row>
    <row r="230" spans="1:17" ht="25.5">
      <c r="A230" s="28"/>
      <c r="B230" s="51" t="s">
        <v>174</v>
      </c>
      <c r="C230" s="10">
        <f t="shared" si="56"/>
        <v>0</v>
      </c>
      <c r="D230" s="10"/>
      <c r="E230" s="10"/>
      <c r="F230" s="10"/>
      <c r="G230" s="10"/>
      <c r="H230" s="10"/>
      <c r="I230" s="10"/>
      <c r="J230" s="10"/>
      <c r="K230" s="10"/>
      <c r="L230" s="10"/>
      <c r="M230" s="10"/>
      <c r="N230" s="10"/>
      <c r="O230" s="10"/>
      <c r="Q230" s="9"/>
    </row>
    <row r="231" spans="1:17" ht="12.75">
      <c r="A231" s="28"/>
      <c r="B231" s="51" t="s">
        <v>230</v>
      </c>
      <c r="C231" s="10">
        <f t="shared" si="56"/>
        <v>0</v>
      </c>
      <c r="D231" s="10"/>
      <c r="E231" s="10"/>
      <c r="F231" s="10"/>
      <c r="G231" s="10"/>
      <c r="H231" s="10"/>
      <c r="I231" s="10"/>
      <c r="J231" s="10"/>
      <c r="K231" s="10"/>
      <c r="L231" s="10"/>
      <c r="M231" s="10"/>
      <c r="N231" s="10"/>
      <c r="O231" s="10"/>
      <c r="Q231" s="9"/>
    </row>
    <row r="232" spans="1:17" ht="38.25">
      <c r="A232" s="28"/>
      <c r="B232" s="51" t="s">
        <v>219</v>
      </c>
      <c r="C232" s="10">
        <f t="shared" si="56"/>
        <v>0</v>
      </c>
      <c r="D232" s="10"/>
      <c r="E232" s="10"/>
      <c r="F232" s="10"/>
      <c r="G232" s="10"/>
      <c r="H232" s="10"/>
      <c r="I232" s="10"/>
      <c r="J232" s="10"/>
      <c r="K232" s="10"/>
      <c r="L232" s="10"/>
      <c r="M232" s="10"/>
      <c r="N232" s="10"/>
      <c r="O232" s="10"/>
      <c r="Q232" s="9"/>
    </row>
    <row r="233" spans="1:17" ht="12.75">
      <c r="A233" s="28"/>
      <c r="B233" s="51" t="s">
        <v>176</v>
      </c>
      <c r="C233" s="10">
        <f t="shared" si="56"/>
        <v>0</v>
      </c>
      <c r="D233" s="10"/>
      <c r="E233" s="10"/>
      <c r="F233" s="10"/>
      <c r="G233" s="10"/>
      <c r="H233" s="10"/>
      <c r="I233" s="10"/>
      <c r="J233" s="10"/>
      <c r="K233" s="10"/>
      <c r="L233" s="10"/>
      <c r="M233" s="10"/>
      <c r="N233" s="10"/>
      <c r="O233" s="10"/>
      <c r="Q233" s="9"/>
    </row>
    <row r="234" spans="1:17" ht="25.5">
      <c r="A234" s="28"/>
      <c r="B234" s="51" t="s">
        <v>175</v>
      </c>
      <c r="C234" s="10">
        <f t="shared" si="56"/>
        <v>0</v>
      </c>
      <c r="D234" s="10"/>
      <c r="E234" s="10"/>
      <c r="F234" s="10"/>
      <c r="G234" s="10"/>
      <c r="H234" s="10"/>
      <c r="I234" s="10"/>
      <c r="J234" s="10"/>
      <c r="K234" s="10"/>
      <c r="L234" s="10"/>
      <c r="M234" s="10"/>
      <c r="N234" s="10"/>
      <c r="O234" s="10"/>
      <c r="Q234" s="9"/>
    </row>
    <row r="235" spans="1:17" ht="25.5">
      <c r="A235" s="28"/>
      <c r="B235" s="51" t="s">
        <v>172</v>
      </c>
      <c r="C235" s="10">
        <f t="shared" si="56"/>
        <v>0</v>
      </c>
      <c r="D235" s="10"/>
      <c r="E235" s="10"/>
      <c r="F235" s="10"/>
      <c r="G235" s="10"/>
      <c r="H235" s="10"/>
      <c r="I235" s="10"/>
      <c r="J235" s="10"/>
      <c r="K235" s="10"/>
      <c r="L235" s="10"/>
      <c r="M235" s="10"/>
      <c r="N235" s="10"/>
      <c r="O235" s="10"/>
      <c r="Q235" s="9"/>
    </row>
    <row r="236" spans="1:17" ht="12.75">
      <c r="A236" s="28"/>
      <c r="B236" s="51" t="s">
        <v>173</v>
      </c>
      <c r="C236" s="10">
        <f t="shared" si="56"/>
        <v>0</v>
      </c>
      <c r="D236" s="10"/>
      <c r="E236" s="10"/>
      <c r="F236" s="10"/>
      <c r="G236" s="10"/>
      <c r="H236" s="10"/>
      <c r="I236" s="10"/>
      <c r="J236" s="10"/>
      <c r="K236" s="10"/>
      <c r="L236" s="10"/>
      <c r="M236" s="10"/>
      <c r="N236" s="10"/>
      <c r="O236" s="10"/>
      <c r="Q236" s="9"/>
    </row>
    <row r="237" spans="1:17" ht="38.25">
      <c r="A237" s="28"/>
      <c r="B237" s="70" t="s">
        <v>177</v>
      </c>
      <c r="C237" s="10">
        <f t="shared" si="56"/>
        <v>0</v>
      </c>
      <c r="D237" s="10"/>
      <c r="E237" s="10"/>
      <c r="F237" s="10"/>
      <c r="G237" s="10"/>
      <c r="H237" s="10"/>
      <c r="I237" s="10"/>
      <c r="J237" s="10"/>
      <c r="K237" s="10"/>
      <c r="L237" s="10"/>
      <c r="M237" s="10"/>
      <c r="N237" s="10"/>
      <c r="O237" s="10"/>
      <c r="Q237" s="9"/>
    </row>
    <row r="238" spans="1:17" ht="38.25">
      <c r="A238" s="28"/>
      <c r="B238" s="70" t="s">
        <v>178</v>
      </c>
      <c r="C238" s="10">
        <f t="shared" si="56"/>
        <v>0</v>
      </c>
      <c r="D238" s="10"/>
      <c r="E238" s="10"/>
      <c r="F238" s="10"/>
      <c r="G238" s="10"/>
      <c r="H238" s="10"/>
      <c r="I238" s="10"/>
      <c r="J238" s="10"/>
      <c r="K238" s="10"/>
      <c r="L238" s="10"/>
      <c r="M238" s="10"/>
      <c r="N238" s="10"/>
      <c r="O238" s="10"/>
      <c r="Q238" s="9"/>
    </row>
    <row r="239" spans="1:17" ht="12" customHeight="1">
      <c r="A239" s="28"/>
      <c r="B239" s="51" t="s">
        <v>221</v>
      </c>
      <c r="C239" s="10">
        <f t="shared" si="56"/>
        <v>0</v>
      </c>
      <c r="D239" s="10"/>
      <c r="E239" s="10"/>
      <c r="F239" s="10"/>
      <c r="G239" s="10"/>
      <c r="H239" s="10"/>
      <c r="I239" s="10"/>
      <c r="J239" s="10"/>
      <c r="K239" s="10"/>
      <c r="L239" s="10"/>
      <c r="M239" s="10"/>
      <c r="N239" s="10"/>
      <c r="O239" s="10"/>
      <c r="Q239" s="9"/>
    </row>
    <row r="240" spans="1:15" ht="12.75">
      <c r="A240" s="28">
        <v>60</v>
      </c>
      <c r="B240" s="29" t="s">
        <v>158</v>
      </c>
      <c r="C240" s="30">
        <f t="shared" si="56"/>
        <v>2400</v>
      </c>
      <c r="D240" s="30"/>
      <c r="E240" s="30"/>
      <c r="F240" s="30"/>
      <c r="G240" s="30"/>
      <c r="H240" s="30"/>
      <c r="I240" s="30"/>
      <c r="J240" s="30">
        <v>2000</v>
      </c>
      <c r="K240" s="30"/>
      <c r="L240" s="30"/>
      <c r="M240" s="30"/>
      <c r="N240" s="30">
        <v>400</v>
      </c>
      <c r="O240" s="30"/>
    </row>
    <row r="241" spans="1:15" ht="12.75">
      <c r="A241" s="28">
        <v>61</v>
      </c>
      <c r="B241" s="29" t="s">
        <v>54</v>
      </c>
      <c r="C241" s="30">
        <f>SUM(D241:O241)</f>
        <v>19281</v>
      </c>
      <c r="D241" s="30">
        <v>19281</v>
      </c>
      <c r="E241" s="30"/>
      <c r="F241" s="30"/>
      <c r="G241" s="30"/>
      <c r="H241" s="30"/>
      <c r="I241" s="30"/>
      <c r="J241" s="30"/>
      <c r="K241" s="30"/>
      <c r="L241" s="30"/>
      <c r="M241" s="30"/>
      <c r="N241" s="30"/>
      <c r="O241" s="30"/>
    </row>
    <row r="242" spans="1:15" ht="12.75">
      <c r="A242" s="28">
        <v>62</v>
      </c>
      <c r="B242" s="29" t="s">
        <v>45</v>
      </c>
      <c r="C242" s="30">
        <f t="shared" si="56"/>
        <v>0</v>
      </c>
      <c r="D242" s="30"/>
      <c r="E242" s="30"/>
      <c r="F242" s="30"/>
      <c r="G242" s="30"/>
      <c r="H242" s="30"/>
      <c r="I242" s="30"/>
      <c r="J242" s="30"/>
      <c r="K242" s="30"/>
      <c r="L242" s="30"/>
      <c r="M242" s="30"/>
      <c r="N242" s="30"/>
      <c r="O242" s="30"/>
    </row>
    <row r="243" spans="1:16" ht="12.75">
      <c r="A243" s="28">
        <v>63</v>
      </c>
      <c r="B243" s="29" t="s">
        <v>46</v>
      </c>
      <c r="C243" s="30">
        <f t="shared" si="56"/>
        <v>1060804.96</v>
      </c>
      <c r="D243" s="30">
        <v>102302.16</v>
      </c>
      <c r="E243" s="30">
        <v>93432.41</v>
      </c>
      <c r="F243" s="30">
        <v>89108</v>
      </c>
      <c r="G243" s="30">
        <v>91948.85</v>
      </c>
      <c r="H243" s="30">
        <v>98388.1</v>
      </c>
      <c r="I243" s="30">
        <v>80490.75</v>
      </c>
      <c r="J243" s="30">
        <v>73199.23</v>
      </c>
      <c r="K243" s="30">
        <v>83331.59</v>
      </c>
      <c r="L243" s="30">
        <v>82858.12</v>
      </c>
      <c r="M243" s="30">
        <v>91917.28</v>
      </c>
      <c r="N243" s="30">
        <v>94852.83</v>
      </c>
      <c r="O243" s="30">
        <v>78975.64</v>
      </c>
      <c r="P243" s="54">
        <f>C243/SUM($C$243:$C$245)</f>
        <v>0.22215446486879376</v>
      </c>
    </row>
    <row r="244" spans="1:16" ht="12.75">
      <c r="A244" s="28">
        <v>64</v>
      </c>
      <c r="B244" s="29" t="s">
        <v>47</v>
      </c>
      <c r="C244" s="30">
        <f t="shared" si="56"/>
        <v>1375246.9299999997</v>
      </c>
      <c r="D244" s="30">
        <v>309732.68</v>
      </c>
      <c r="E244" s="30">
        <v>281728.75</v>
      </c>
      <c r="F244" s="30">
        <v>208307.71</v>
      </c>
      <c r="G244" s="30">
        <v>166139.4</v>
      </c>
      <c r="H244" s="30">
        <v>85961.06</v>
      </c>
      <c r="I244" s="30">
        <v>50225.16</v>
      </c>
      <c r="J244" s="30">
        <v>12085.23</v>
      </c>
      <c r="K244" s="30">
        <v>23455.75</v>
      </c>
      <c r="L244" s="30">
        <v>29628.3</v>
      </c>
      <c r="M244" s="30"/>
      <c r="N244" s="30">
        <v>207982.89</v>
      </c>
      <c r="O244" s="30"/>
      <c r="P244" s="54">
        <f>C244/SUM($C$243:$C$245)</f>
        <v>0.288005106797956</v>
      </c>
    </row>
    <row r="245" spans="1:16" ht="12.75">
      <c r="A245" s="28">
        <v>65</v>
      </c>
      <c r="B245" s="29" t="s">
        <v>48</v>
      </c>
      <c r="C245" s="30">
        <f t="shared" si="56"/>
        <v>2339026.39</v>
      </c>
      <c r="D245" s="30">
        <v>221531.4</v>
      </c>
      <c r="E245" s="30">
        <v>214724.59</v>
      </c>
      <c r="F245" s="30">
        <v>194811.68</v>
      </c>
      <c r="G245" s="30">
        <v>187077.18</v>
      </c>
      <c r="H245" s="30">
        <v>198200.09</v>
      </c>
      <c r="I245" s="30">
        <v>210787.22</v>
      </c>
      <c r="J245" s="30">
        <v>166260.16</v>
      </c>
      <c r="K245" s="30">
        <v>192287.57</v>
      </c>
      <c r="L245" s="30">
        <v>172817.76</v>
      </c>
      <c r="M245" s="30">
        <v>196073.31</v>
      </c>
      <c r="N245" s="30">
        <v>209134.21</v>
      </c>
      <c r="O245" s="30">
        <v>175321.22</v>
      </c>
      <c r="P245" s="54">
        <f>C245/SUM($C$243:$C$245)</f>
        <v>0.48984042833325037</v>
      </c>
    </row>
    <row r="246" spans="1:15" s="25" customFormat="1" ht="12.75">
      <c r="A246" s="28">
        <v>66</v>
      </c>
      <c r="B246" s="29" t="s">
        <v>419</v>
      </c>
      <c r="C246" s="30">
        <f t="shared" si="56"/>
        <v>21000</v>
      </c>
      <c r="D246" s="30">
        <f>D247</f>
        <v>0</v>
      </c>
      <c r="E246" s="30">
        <f aca="true" t="shared" si="61" ref="E246:O246">E247</f>
        <v>0</v>
      </c>
      <c r="F246" s="30">
        <f t="shared" si="61"/>
        <v>0</v>
      </c>
      <c r="G246" s="30">
        <f t="shared" si="61"/>
        <v>0</v>
      </c>
      <c r="H246" s="30">
        <f t="shared" si="61"/>
        <v>0</v>
      </c>
      <c r="I246" s="30">
        <f t="shared" si="61"/>
        <v>0</v>
      </c>
      <c r="J246" s="30">
        <f t="shared" si="61"/>
        <v>0</v>
      </c>
      <c r="K246" s="30">
        <f t="shared" si="61"/>
        <v>0</v>
      </c>
      <c r="L246" s="30">
        <f t="shared" si="61"/>
        <v>0</v>
      </c>
      <c r="M246" s="30">
        <f t="shared" si="61"/>
        <v>0</v>
      </c>
      <c r="N246" s="30">
        <f t="shared" si="61"/>
        <v>0</v>
      </c>
      <c r="O246" s="30">
        <f t="shared" si="61"/>
        <v>21000</v>
      </c>
    </row>
    <row r="247" spans="1:15" ht="12.75">
      <c r="A247" s="48"/>
      <c r="B247" s="48" t="s">
        <v>420</v>
      </c>
      <c r="C247" s="10">
        <f t="shared" si="56"/>
        <v>21000</v>
      </c>
      <c r="D247" s="10"/>
      <c r="E247" s="10"/>
      <c r="F247" s="10"/>
      <c r="G247" s="10"/>
      <c r="H247" s="10"/>
      <c r="I247" s="10"/>
      <c r="J247" s="10"/>
      <c r="K247" s="10"/>
      <c r="L247" s="10"/>
      <c r="M247" s="10"/>
      <c r="N247" s="10"/>
      <c r="O247" s="10">
        <v>21000</v>
      </c>
    </row>
    <row r="248" spans="2:17" ht="12.75">
      <c r="B248" s="55"/>
      <c r="C248" s="71">
        <f>SUMIF($A$88:$A$246,"&lt;&gt;",C88:C246)</f>
        <v>8741105.68</v>
      </c>
      <c r="D248" s="71">
        <f aca="true" t="shared" si="62" ref="D248:O248">SUMIF($A$88:$A$246,"&lt;&gt;",D88:D246)</f>
        <v>901105.0100000001</v>
      </c>
      <c r="E248" s="71">
        <f t="shared" si="62"/>
        <v>867110.04</v>
      </c>
      <c r="F248" s="71">
        <f t="shared" si="62"/>
        <v>923055.55</v>
      </c>
      <c r="G248" s="71">
        <f t="shared" si="62"/>
        <v>818464.3999999999</v>
      </c>
      <c r="H248" s="71">
        <f t="shared" si="62"/>
        <v>660052.77</v>
      </c>
      <c r="I248" s="71">
        <f t="shared" si="62"/>
        <v>707336.1199999999</v>
      </c>
      <c r="J248" s="71">
        <f t="shared" si="62"/>
        <v>608409.9199999999</v>
      </c>
      <c r="K248" s="71">
        <f t="shared" si="62"/>
        <v>562799.94</v>
      </c>
      <c r="L248" s="71">
        <f t="shared" si="62"/>
        <v>586207.85</v>
      </c>
      <c r="M248" s="71">
        <f t="shared" si="62"/>
        <v>671675.3700000001</v>
      </c>
      <c r="N248" s="71">
        <f t="shared" si="62"/>
        <v>834652</v>
      </c>
      <c r="O248" s="71">
        <f t="shared" si="62"/>
        <v>600236.71</v>
      </c>
      <c r="P248" s="72">
        <f>SUM(P243:P245)</f>
        <v>1</v>
      </c>
      <c r="Q248" s="73"/>
    </row>
    <row r="249" spans="2:15" ht="12.75">
      <c r="B249" s="55"/>
      <c r="C249" s="21"/>
      <c r="D249" s="21"/>
      <c r="E249" s="21"/>
      <c r="F249" s="21"/>
      <c r="G249" s="21"/>
      <c r="H249" s="21"/>
      <c r="I249" s="21"/>
      <c r="J249" s="21"/>
      <c r="K249" s="21"/>
      <c r="L249" s="21"/>
      <c r="M249" s="21"/>
      <c r="N249" s="21"/>
      <c r="O249" s="21"/>
    </row>
    <row r="250" spans="2:15" ht="12.75">
      <c r="B250" s="55"/>
      <c r="C250" s="9"/>
      <c r="D250" s="21"/>
      <c r="E250" s="21"/>
      <c r="F250" s="21"/>
      <c r="G250" s="21"/>
      <c r="H250" s="21"/>
      <c r="I250" s="21"/>
      <c r="J250" s="21"/>
      <c r="K250" s="21"/>
      <c r="L250" s="21"/>
      <c r="M250" s="21"/>
      <c r="N250" s="21"/>
      <c r="O250" s="21"/>
    </row>
    <row r="251" spans="8:13" ht="12.75">
      <c r="H251" s="9"/>
      <c r="I251" s="9"/>
      <c r="J251" s="9"/>
      <c r="K251" s="9"/>
      <c r="L251" s="9"/>
      <c r="M251" s="9"/>
    </row>
    <row r="252" spans="1:15" ht="25.5">
      <c r="A252" s="32" t="s">
        <v>0</v>
      </c>
      <c r="B252" s="50" t="s">
        <v>59</v>
      </c>
      <c r="C252" s="28" t="s">
        <v>1</v>
      </c>
      <c r="D252" s="28" t="s">
        <v>2</v>
      </c>
      <c r="E252" s="28" t="s">
        <v>3</v>
      </c>
      <c r="F252" s="28" t="s">
        <v>4</v>
      </c>
      <c r="G252" s="28" t="s">
        <v>5</v>
      </c>
      <c r="H252" s="28" t="s">
        <v>6</v>
      </c>
      <c r="I252" s="28" t="s">
        <v>7</v>
      </c>
      <c r="J252" s="28" t="s">
        <v>8</v>
      </c>
      <c r="K252" s="28" t="s">
        <v>9</v>
      </c>
      <c r="L252" s="28" t="s">
        <v>10</v>
      </c>
      <c r="M252" s="28" t="s">
        <v>11</v>
      </c>
      <c r="N252" s="28" t="s">
        <v>12</v>
      </c>
      <c r="O252" s="28" t="s">
        <v>13</v>
      </c>
    </row>
    <row r="253" spans="1:15" s="25" customFormat="1" ht="25.5">
      <c r="A253" s="28">
        <v>1</v>
      </c>
      <c r="B253" s="29" t="s">
        <v>57</v>
      </c>
      <c r="C253" s="30">
        <f aca="true" t="shared" si="63" ref="C253:C277">SUM(D253:O253)</f>
        <v>1740661.1400000001</v>
      </c>
      <c r="D253" s="30">
        <f>SUM(D254:D260)</f>
        <v>95875.99999999999</v>
      </c>
      <c r="E253" s="30">
        <f aca="true" t="shared" si="64" ref="E253:O253">SUM(E254:E260)</f>
        <v>182388.28999999998</v>
      </c>
      <c r="F253" s="30">
        <f t="shared" si="64"/>
        <v>127626.12</v>
      </c>
      <c r="G253" s="30">
        <f t="shared" si="64"/>
        <v>110443.44</v>
      </c>
      <c r="H253" s="30">
        <f t="shared" si="64"/>
        <v>146594.16</v>
      </c>
      <c r="I253" s="30">
        <f>SUM(I254:I260)</f>
        <v>148406.31999999998</v>
      </c>
      <c r="J253" s="30">
        <f>SUM(J254:J260)</f>
        <v>203138.18</v>
      </c>
      <c r="K253" s="30">
        <f t="shared" si="64"/>
        <v>135021.36</v>
      </c>
      <c r="L253" s="30">
        <f t="shared" si="64"/>
        <v>133008.03</v>
      </c>
      <c r="M253" s="30">
        <f t="shared" si="64"/>
        <v>149988.21</v>
      </c>
      <c r="N253" s="30">
        <f t="shared" si="64"/>
        <v>145553.1</v>
      </c>
      <c r="O253" s="30">
        <f t="shared" si="64"/>
        <v>162617.93</v>
      </c>
    </row>
    <row r="254" spans="1:16" ht="12.75">
      <c r="A254" s="35"/>
      <c r="B254" s="51" t="s">
        <v>26</v>
      </c>
      <c r="C254" s="10">
        <f t="shared" si="63"/>
        <v>160215.6</v>
      </c>
      <c r="D254" s="10">
        <v>13351.24</v>
      </c>
      <c r="E254" s="10">
        <v>13351.24</v>
      </c>
      <c r="F254" s="10">
        <v>13351.24</v>
      </c>
      <c r="G254" s="10">
        <v>13351.24</v>
      </c>
      <c r="H254" s="10">
        <v>13351.24</v>
      </c>
      <c r="I254" s="10">
        <v>13351.24</v>
      </c>
      <c r="J254" s="10">
        <v>13351.24</v>
      </c>
      <c r="K254" s="10">
        <v>13351.24</v>
      </c>
      <c r="L254" s="10">
        <v>13351.24</v>
      </c>
      <c r="M254" s="10">
        <v>13351.24</v>
      </c>
      <c r="N254" s="10">
        <v>13351.24</v>
      </c>
      <c r="O254" s="10">
        <v>13351.96</v>
      </c>
      <c r="P254" s="10"/>
    </row>
    <row r="255" spans="1:16" ht="12.75">
      <c r="A255" s="35"/>
      <c r="B255" s="51" t="s">
        <v>185</v>
      </c>
      <c r="C255" s="10">
        <f t="shared" si="63"/>
        <v>360278.86000000004</v>
      </c>
      <c r="D255" s="10">
        <v>29896.78</v>
      </c>
      <c r="E255" s="10">
        <f>23690+4264.2+734.39+473.8+687.01+47.38</f>
        <v>29896.78</v>
      </c>
      <c r="F255" s="10">
        <v>29896.78</v>
      </c>
      <c r="G255" s="10">
        <v>29896.78</v>
      </c>
      <c r="H255" s="10">
        <f>22747.2+5959.77</f>
        <v>28706.97</v>
      </c>
      <c r="I255" s="10">
        <v>29896.78</v>
      </c>
      <c r="J255" s="10">
        <v>29896.78</v>
      </c>
      <c r="K255" s="10">
        <f>25606.24+6708.83</f>
        <v>32315.07</v>
      </c>
      <c r="L255" s="10">
        <v>29896.78</v>
      </c>
      <c r="M255" s="10">
        <v>29896.78</v>
      </c>
      <c r="N255" s="10">
        <f>21620+3891.6+670.22+432.4+626.98+43.24</f>
        <v>27284.440000000002</v>
      </c>
      <c r="O255" s="10">
        <v>32798.14</v>
      </c>
      <c r="P255" s="10"/>
    </row>
    <row r="256" spans="1:16" ht="12.75">
      <c r="A256" s="35"/>
      <c r="B256" s="51" t="s">
        <v>243</v>
      </c>
      <c r="C256" s="10">
        <f t="shared" si="63"/>
        <v>217571.43999999992</v>
      </c>
      <c r="D256" s="10">
        <v>17922.92</v>
      </c>
      <c r="E256" s="10">
        <f>14202+1704.24+852.12+440.26+284.04+411.86+28.4</f>
        <v>17922.920000000002</v>
      </c>
      <c r="F256" s="10">
        <v>17922.92</v>
      </c>
      <c r="G256" s="10">
        <v>17922.92</v>
      </c>
      <c r="H256" s="10">
        <v>17922.92</v>
      </c>
      <c r="I256" s="10">
        <v>17922.92</v>
      </c>
      <c r="J256" s="10">
        <v>17922.92</v>
      </c>
      <c r="K256" s="10">
        <f>13881.12+3636.85</f>
        <v>17517.97</v>
      </c>
      <c r="L256" s="10">
        <v>17922.92</v>
      </c>
      <c r="M256" s="10">
        <v>17922.92</v>
      </c>
      <c r="N256" s="10">
        <v>17922.92</v>
      </c>
      <c r="O256" s="10">
        <v>20824.27</v>
      </c>
      <c r="P256" s="10"/>
    </row>
    <row r="257" spans="1:15" ht="12.75">
      <c r="A257" s="35"/>
      <c r="B257" s="51" t="s">
        <v>27</v>
      </c>
      <c r="C257" s="10">
        <f t="shared" si="63"/>
        <v>421037.1099999999</v>
      </c>
      <c r="D257" s="10">
        <f>36791.1-28809.74</f>
        <v>7981.359999999997</v>
      </c>
      <c r="E257" s="10">
        <f>36971.1+28809.74-3464.6</f>
        <v>62316.24</v>
      </c>
      <c r="F257" s="10">
        <f>19406+2328.72+1164.36+601.58+388.12+562.78+1903+342.54+58.99+38.06+55.19+4262+3464.6-5483.75</f>
        <v>29092.190000000002</v>
      </c>
      <c r="G257" s="10">
        <f>23896.1+27192.63+1903+13883.83+7.74+5483.75-64676.18</f>
        <v>7690.870000000003</v>
      </c>
      <c r="H257" s="10">
        <f>27540.63+7215.65+64676.18-59207.53</f>
        <v>40224.92999999999</v>
      </c>
      <c r="I257" s="10">
        <f>27541.63+7215.91+0.73+59207.53-58773.41</f>
        <v>35192.39</v>
      </c>
      <c r="J257" s="10">
        <f>24638.63+6455.32+323.86+58773.41</f>
        <v>90191.22</v>
      </c>
      <c r="K257" s="10">
        <f>15638.63+4097.32+325.11</f>
        <v>20061.059999999998</v>
      </c>
      <c r="L257" s="10">
        <f>15638.63+4097.32+325.12</f>
        <v>20061.069999999996</v>
      </c>
      <c r="M257" s="10">
        <v>37041.25</v>
      </c>
      <c r="N257" s="10">
        <f>19735.95+12045.33+3106.85+5.96</f>
        <v>34894.09</v>
      </c>
      <c r="O257" s="10">
        <v>36290.44</v>
      </c>
    </row>
    <row r="258" spans="1:15" ht="12.75">
      <c r="A258" s="35"/>
      <c r="B258" s="51" t="s">
        <v>179</v>
      </c>
      <c r="C258" s="10">
        <f t="shared" si="63"/>
        <v>104493.60000000002</v>
      </c>
      <c r="D258" s="10">
        <v>8707.8</v>
      </c>
      <c r="E258" s="10">
        <f>2300+2300+2300+13.8+414+71.3+46+66.7+276+138+71.3+46+66.7+414+71.3+46+66.7</f>
        <v>8707.8</v>
      </c>
      <c r="F258" s="10">
        <v>8707.8</v>
      </c>
      <c r="G258" s="10">
        <v>8707.8</v>
      </c>
      <c r="H258" s="10">
        <v>8707.8</v>
      </c>
      <c r="I258" s="10">
        <v>8707.8</v>
      </c>
      <c r="J258" s="10">
        <v>8707.8</v>
      </c>
      <c r="K258" s="10">
        <v>8707.8</v>
      </c>
      <c r="L258" s="10">
        <v>8707.8</v>
      </c>
      <c r="M258" s="10">
        <v>8707.8</v>
      </c>
      <c r="N258" s="10">
        <v>8707.8</v>
      </c>
      <c r="O258" s="10">
        <v>8707.8</v>
      </c>
    </row>
    <row r="259" spans="1:15" ht="12.75">
      <c r="A259" s="35"/>
      <c r="B259" s="51" t="s">
        <v>242</v>
      </c>
      <c r="C259" s="10">
        <f t="shared" si="63"/>
        <v>364781.47</v>
      </c>
      <c r="D259" s="10">
        <f>30185.78+0.72-15000</f>
        <v>15186.5</v>
      </c>
      <c r="E259" s="10">
        <f>1868+336.24+21.73+23919+2870.28+1435.14+741.49+478.38+693.65+15000</f>
        <v>47363.91</v>
      </c>
      <c r="F259" s="10">
        <v>25825.79</v>
      </c>
      <c r="G259" s="10">
        <v>30044.43</v>
      </c>
      <c r="H259" s="10">
        <f>24364.08+6383.39-47.29</f>
        <v>30700.18</v>
      </c>
      <c r="I259" s="10">
        <f aca="true" t="shared" si="65" ref="I259:N259">23920+6267.04</f>
        <v>30187.04</v>
      </c>
      <c r="J259" s="10">
        <f t="shared" si="65"/>
        <v>30187.04</v>
      </c>
      <c r="K259" s="10">
        <f t="shared" si="65"/>
        <v>30187.04</v>
      </c>
      <c r="L259" s="10">
        <f t="shared" si="65"/>
        <v>30187.04</v>
      </c>
      <c r="M259" s="10">
        <f t="shared" si="65"/>
        <v>30187.04</v>
      </c>
      <c r="N259" s="10">
        <f t="shared" si="65"/>
        <v>30187.04</v>
      </c>
      <c r="O259" s="10">
        <v>34538.42</v>
      </c>
    </row>
    <row r="260" spans="1:15" ht="12.75">
      <c r="A260" s="35"/>
      <c r="B260" s="51" t="s">
        <v>244</v>
      </c>
      <c r="C260" s="10">
        <f t="shared" si="63"/>
        <v>112283.06</v>
      </c>
      <c r="D260" s="10">
        <v>2829.4</v>
      </c>
      <c r="E260" s="10">
        <f>2242+4.48+269.04+134.52+69.5+44.84+65.02</f>
        <v>2829.4</v>
      </c>
      <c r="F260" s="10">
        <f>2242+4.48+269.04+134.52+69.5+44.84+65.02</f>
        <v>2829.4</v>
      </c>
      <c r="G260" s="10">
        <f>2242+4.48+269.04+134.52+69.5+44.84+65.02</f>
        <v>2829.4</v>
      </c>
      <c r="H260" s="10">
        <f>5531+1449.12</f>
        <v>6980.12</v>
      </c>
      <c r="I260" s="10">
        <f>10418.5+2729.65</f>
        <v>13148.15</v>
      </c>
      <c r="J260" s="10">
        <f>10464+2417.18</f>
        <v>12881.18</v>
      </c>
      <c r="K260" s="10">
        <f>10464+2417.18</f>
        <v>12881.18</v>
      </c>
      <c r="L260" s="10">
        <f>10464+2417.18</f>
        <v>12881.18</v>
      </c>
      <c r="M260" s="10">
        <f>10464+2417.18</f>
        <v>12881.18</v>
      </c>
      <c r="N260" s="10">
        <v>13205.57</v>
      </c>
      <c r="O260" s="10">
        <v>16106.900000000001</v>
      </c>
    </row>
    <row r="261" spans="1:15" s="25" customFormat="1" ht="12.75">
      <c r="A261" s="28">
        <v>2</v>
      </c>
      <c r="B261" s="29" t="s">
        <v>180</v>
      </c>
      <c r="C261" s="30">
        <f>SUM(D261:O261)</f>
        <v>707.83</v>
      </c>
      <c r="D261" s="30">
        <f>D263+D262</f>
        <v>0</v>
      </c>
      <c r="E261" s="30">
        <f aca="true" t="shared" si="66" ref="E261:O261">E263+E262</f>
        <v>0</v>
      </c>
      <c r="F261" s="30">
        <f t="shared" si="66"/>
        <v>0</v>
      </c>
      <c r="G261" s="30">
        <f t="shared" si="66"/>
        <v>707.83</v>
      </c>
      <c r="H261" s="30">
        <f t="shared" si="66"/>
        <v>0</v>
      </c>
      <c r="I261" s="30">
        <f t="shared" si="66"/>
        <v>0</v>
      </c>
      <c r="J261" s="30">
        <f t="shared" si="66"/>
        <v>0</v>
      </c>
      <c r="K261" s="30">
        <f t="shared" si="66"/>
        <v>0</v>
      </c>
      <c r="L261" s="30">
        <f t="shared" si="66"/>
        <v>0</v>
      </c>
      <c r="M261" s="30">
        <f t="shared" si="66"/>
        <v>0</v>
      </c>
      <c r="N261" s="30">
        <f t="shared" si="66"/>
        <v>0</v>
      </c>
      <c r="O261" s="30">
        <f t="shared" si="66"/>
        <v>0</v>
      </c>
    </row>
    <row r="262" spans="1:15" s="25" customFormat="1" ht="38.25">
      <c r="A262" s="28"/>
      <c r="B262" s="51" t="s">
        <v>251</v>
      </c>
      <c r="C262" s="10">
        <f>SUM(D262:O262)</f>
        <v>707.83</v>
      </c>
      <c r="D262" s="30"/>
      <c r="E262" s="30"/>
      <c r="F262" s="30"/>
      <c r="G262" s="30">
        <v>707.83</v>
      </c>
      <c r="H262" s="30"/>
      <c r="I262" s="30"/>
      <c r="J262" s="30"/>
      <c r="K262" s="30"/>
      <c r="L262" s="30"/>
      <c r="M262" s="30"/>
      <c r="N262" s="30"/>
      <c r="O262" s="10"/>
    </row>
    <row r="263" spans="1:15" ht="38.25">
      <c r="A263" s="35"/>
      <c r="B263" s="51" t="s">
        <v>181</v>
      </c>
      <c r="C263" s="10">
        <f t="shared" si="63"/>
        <v>0</v>
      </c>
      <c r="D263" s="10"/>
      <c r="E263" s="10"/>
      <c r="F263" s="10"/>
      <c r="G263" s="10"/>
      <c r="H263" s="10"/>
      <c r="I263" s="10"/>
      <c r="J263" s="10"/>
      <c r="K263" s="10"/>
      <c r="L263" s="10"/>
      <c r="M263" s="10"/>
      <c r="N263" s="10"/>
      <c r="O263" s="10"/>
    </row>
    <row r="264" spans="1:15" s="25" customFormat="1" ht="12.75">
      <c r="A264" s="28">
        <v>3</v>
      </c>
      <c r="B264" s="29" t="s">
        <v>182</v>
      </c>
      <c r="C264" s="30">
        <f t="shared" si="63"/>
        <v>89849.48</v>
      </c>
      <c r="D264" s="30">
        <f>D267+D265+D266+D268+D269+D270+D271+D272+D273+D274</f>
        <v>0</v>
      </c>
      <c r="E264" s="30">
        <f aca="true" t="shared" si="67" ref="E264:O264">E267+E265+E266+E268+E269+E270+E271+E272+E273+E274</f>
        <v>0</v>
      </c>
      <c r="F264" s="30">
        <f t="shared" si="67"/>
        <v>4244.49</v>
      </c>
      <c r="G264" s="30">
        <f t="shared" si="67"/>
        <v>9198.029999999999</v>
      </c>
      <c r="H264" s="30">
        <f t="shared" si="67"/>
        <v>9904.63</v>
      </c>
      <c r="I264" s="30">
        <f t="shared" si="67"/>
        <v>0</v>
      </c>
      <c r="J264" s="30">
        <f t="shared" si="67"/>
        <v>5660.14</v>
      </c>
      <c r="K264" s="30">
        <f t="shared" si="67"/>
        <v>9904.63</v>
      </c>
      <c r="L264" s="30">
        <f t="shared" si="67"/>
        <v>8490.21</v>
      </c>
      <c r="M264" s="30">
        <f t="shared" si="67"/>
        <v>12734.7</v>
      </c>
      <c r="N264" s="30">
        <f t="shared" si="67"/>
        <v>15563.53</v>
      </c>
      <c r="O264" s="30">
        <f t="shared" si="67"/>
        <v>14149.12</v>
      </c>
    </row>
    <row r="265" spans="1:15" ht="102">
      <c r="A265" s="35"/>
      <c r="B265" s="51" t="s">
        <v>248</v>
      </c>
      <c r="C265" s="10">
        <f t="shared" si="63"/>
        <v>4244.49</v>
      </c>
      <c r="D265" s="10"/>
      <c r="E265" s="10"/>
      <c r="F265" s="10">
        <v>4244.49</v>
      </c>
      <c r="G265" s="10"/>
      <c r="H265" s="10"/>
      <c r="I265" s="10"/>
      <c r="J265" s="10"/>
      <c r="K265" s="10"/>
      <c r="L265" s="10"/>
      <c r="M265" s="10"/>
      <c r="N265" s="10"/>
      <c r="O265" s="10"/>
    </row>
    <row r="266" spans="1:15" ht="76.5">
      <c r="A266" s="35"/>
      <c r="B266" s="51" t="s">
        <v>422</v>
      </c>
      <c r="C266" s="10">
        <f t="shared" si="63"/>
        <v>6366.73</v>
      </c>
      <c r="D266" s="10"/>
      <c r="E266" s="10"/>
      <c r="F266" s="10"/>
      <c r="G266" s="10">
        <v>6366.73</v>
      </c>
      <c r="H266" s="10"/>
      <c r="I266" s="10"/>
      <c r="J266" s="10"/>
      <c r="K266" s="10"/>
      <c r="L266" s="10"/>
      <c r="M266" s="10"/>
      <c r="N266" s="10"/>
      <c r="O266" s="10"/>
    </row>
    <row r="267" spans="1:15" ht="38.25">
      <c r="A267" s="35"/>
      <c r="B267" s="51" t="s">
        <v>299</v>
      </c>
      <c r="C267" s="10">
        <f t="shared" si="63"/>
        <v>2831.3</v>
      </c>
      <c r="D267" s="10"/>
      <c r="E267" s="10"/>
      <c r="F267" s="10"/>
      <c r="G267" s="10">
        <v>2831.3</v>
      </c>
      <c r="H267" s="10"/>
      <c r="I267" s="10"/>
      <c r="J267" s="10"/>
      <c r="K267" s="10"/>
      <c r="L267" s="10"/>
      <c r="M267" s="10"/>
      <c r="N267" s="10"/>
      <c r="O267" s="10"/>
    </row>
    <row r="268" spans="1:15" ht="63.75">
      <c r="A268" s="35"/>
      <c r="B268" s="51" t="s">
        <v>252</v>
      </c>
      <c r="C268" s="10">
        <f t="shared" si="63"/>
        <v>9904.63</v>
      </c>
      <c r="D268" s="10"/>
      <c r="E268" s="10"/>
      <c r="F268" s="10"/>
      <c r="G268" s="10"/>
      <c r="H268" s="10">
        <v>9904.63</v>
      </c>
      <c r="I268" s="10"/>
      <c r="J268" s="10"/>
      <c r="K268" s="10"/>
      <c r="L268" s="10"/>
      <c r="M268" s="10"/>
      <c r="N268" s="10"/>
      <c r="O268" s="10"/>
    </row>
    <row r="269" spans="1:15" ht="51">
      <c r="A269" s="35"/>
      <c r="B269" s="51" t="s">
        <v>263</v>
      </c>
      <c r="C269" s="10">
        <f t="shared" si="63"/>
        <v>5660.14</v>
      </c>
      <c r="D269" s="10"/>
      <c r="E269" s="10"/>
      <c r="F269" s="10"/>
      <c r="G269" s="10"/>
      <c r="H269" s="10"/>
      <c r="I269" s="10"/>
      <c r="J269" s="10">
        <v>5660.14</v>
      </c>
      <c r="K269" s="10"/>
      <c r="L269" s="10"/>
      <c r="M269" s="10"/>
      <c r="N269" s="10"/>
      <c r="O269" s="10"/>
    </row>
    <row r="270" spans="1:15" ht="51">
      <c r="A270" s="35"/>
      <c r="B270" s="51" t="s">
        <v>266</v>
      </c>
      <c r="C270" s="10">
        <f t="shared" si="63"/>
        <v>9904.63</v>
      </c>
      <c r="D270" s="10"/>
      <c r="E270" s="10"/>
      <c r="F270" s="10"/>
      <c r="G270" s="10"/>
      <c r="H270" s="10"/>
      <c r="I270" s="10"/>
      <c r="J270" s="10"/>
      <c r="K270" s="10">
        <v>9904.63</v>
      </c>
      <c r="L270" s="10"/>
      <c r="M270" s="10"/>
      <c r="N270" s="10"/>
      <c r="O270" s="10"/>
    </row>
    <row r="271" spans="1:15" ht="51">
      <c r="A271" s="35"/>
      <c r="B271" s="51" t="s">
        <v>267</v>
      </c>
      <c r="C271" s="10">
        <f t="shared" si="63"/>
        <v>8490.21</v>
      </c>
      <c r="D271" s="10"/>
      <c r="E271" s="10"/>
      <c r="F271" s="10"/>
      <c r="G271" s="10"/>
      <c r="H271" s="10"/>
      <c r="I271" s="10"/>
      <c r="J271" s="10"/>
      <c r="K271" s="10"/>
      <c r="L271" s="10">
        <v>8490.21</v>
      </c>
      <c r="M271" s="10"/>
      <c r="N271" s="10"/>
      <c r="O271" s="10"/>
    </row>
    <row r="272" spans="1:15" ht="76.5">
      <c r="A272" s="35"/>
      <c r="B272" s="51" t="s">
        <v>268</v>
      </c>
      <c r="C272" s="10">
        <f t="shared" si="63"/>
        <v>12734.7</v>
      </c>
      <c r="D272" s="10"/>
      <c r="E272" s="10"/>
      <c r="F272" s="10"/>
      <c r="G272" s="10"/>
      <c r="H272" s="10"/>
      <c r="I272" s="10"/>
      <c r="J272" s="10"/>
      <c r="K272" s="10"/>
      <c r="L272" s="10"/>
      <c r="M272" s="10">
        <v>12734.7</v>
      </c>
      <c r="N272" s="10"/>
      <c r="O272" s="10"/>
    </row>
    <row r="273" spans="1:15" ht="76.5">
      <c r="A273" s="35"/>
      <c r="B273" s="51" t="s">
        <v>303</v>
      </c>
      <c r="C273" s="10">
        <f t="shared" si="63"/>
        <v>15563.53</v>
      </c>
      <c r="D273" s="10"/>
      <c r="E273" s="10"/>
      <c r="F273" s="10"/>
      <c r="G273" s="10"/>
      <c r="H273" s="10"/>
      <c r="I273" s="10"/>
      <c r="J273" s="10"/>
      <c r="K273" s="10"/>
      <c r="L273" s="10"/>
      <c r="M273" s="10"/>
      <c r="N273" s="10">
        <f>12643+2275.74+391.93+252.86</f>
        <v>15563.53</v>
      </c>
      <c r="O273" s="10"/>
    </row>
    <row r="274" spans="1:15" ht="51">
      <c r="A274" s="35"/>
      <c r="B274" s="51" t="s">
        <v>417</v>
      </c>
      <c r="C274" s="10">
        <f t="shared" si="63"/>
        <v>14149.12</v>
      </c>
      <c r="D274" s="10"/>
      <c r="E274" s="10"/>
      <c r="F274" s="10"/>
      <c r="G274" s="10"/>
      <c r="H274" s="10"/>
      <c r="I274" s="10"/>
      <c r="J274" s="10"/>
      <c r="K274" s="10"/>
      <c r="L274" s="10"/>
      <c r="M274" s="10"/>
      <c r="N274" s="10"/>
      <c r="O274" s="10">
        <v>14149.12</v>
      </c>
    </row>
    <row r="275" spans="1:16" s="25" customFormat="1" ht="12.75">
      <c r="A275" s="28">
        <v>4</v>
      </c>
      <c r="B275" s="29" t="s">
        <v>207</v>
      </c>
      <c r="C275" s="30">
        <f t="shared" si="63"/>
        <v>17715.32</v>
      </c>
      <c r="D275" s="30">
        <f>D278+D276+D277</f>
        <v>0</v>
      </c>
      <c r="E275" s="30">
        <f aca="true" t="shared" si="68" ref="E275:O275">E278+E276+E277</f>
        <v>0</v>
      </c>
      <c r="F275" s="30">
        <f t="shared" si="68"/>
        <v>0</v>
      </c>
      <c r="G275" s="30">
        <f t="shared" si="68"/>
        <v>0</v>
      </c>
      <c r="H275" s="30">
        <f t="shared" si="68"/>
        <v>0</v>
      </c>
      <c r="I275" s="30">
        <f t="shared" si="68"/>
        <v>9196.8</v>
      </c>
      <c r="J275" s="30">
        <f t="shared" si="68"/>
        <v>7074.56</v>
      </c>
      <c r="K275" s="30">
        <f t="shared" si="68"/>
        <v>0</v>
      </c>
      <c r="L275" s="30">
        <f t="shared" si="68"/>
        <v>0</v>
      </c>
      <c r="M275" s="30">
        <f t="shared" si="68"/>
        <v>0</v>
      </c>
      <c r="N275" s="30">
        <f t="shared" si="68"/>
        <v>1443.9599999999998</v>
      </c>
      <c r="O275" s="30">
        <f t="shared" si="68"/>
        <v>0</v>
      </c>
      <c r="P275" s="31"/>
    </row>
    <row r="276" spans="1:15" ht="38.25">
      <c r="A276" s="35"/>
      <c r="B276" s="51" t="s">
        <v>183</v>
      </c>
      <c r="C276" s="10">
        <f t="shared" si="63"/>
        <v>9196.8</v>
      </c>
      <c r="D276" s="10"/>
      <c r="E276" s="10"/>
      <c r="F276" s="10"/>
      <c r="G276" s="10"/>
      <c r="H276" s="10"/>
      <c r="I276" s="10">
        <v>9196.8</v>
      </c>
      <c r="J276" s="10"/>
      <c r="K276" s="10"/>
      <c r="L276" s="10"/>
      <c r="M276" s="10"/>
      <c r="N276" s="10"/>
      <c r="O276" s="10"/>
    </row>
    <row r="277" spans="1:15" ht="25.5">
      <c r="A277" s="35"/>
      <c r="B277" s="51" t="s">
        <v>261</v>
      </c>
      <c r="C277" s="10">
        <f t="shared" si="63"/>
        <v>7074.56</v>
      </c>
      <c r="D277" s="10"/>
      <c r="E277" s="10"/>
      <c r="F277" s="10"/>
      <c r="G277" s="10"/>
      <c r="H277" s="10"/>
      <c r="I277" s="10"/>
      <c r="J277" s="10">
        <v>7074.56</v>
      </c>
      <c r="K277" s="10"/>
      <c r="L277" s="10"/>
      <c r="M277" s="10"/>
      <c r="N277" s="10"/>
      <c r="O277" s="10"/>
    </row>
    <row r="278" spans="1:15" ht="25.5">
      <c r="A278" s="35"/>
      <c r="B278" s="51" t="s">
        <v>302</v>
      </c>
      <c r="C278" s="10">
        <f aca="true" t="shared" si="69" ref="C278:C305">SUM(D278:O278)</f>
        <v>1443.9599999999998</v>
      </c>
      <c r="D278" s="10"/>
      <c r="E278" s="10"/>
      <c r="F278" s="10"/>
      <c r="G278" s="10"/>
      <c r="H278" s="10"/>
      <c r="I278" s="10"/>
      <c r="J278" s="10"/>
      <c r="K278" s="10"/>
      <c r="L278" s="10"/>
      <c r="M278" s="10"/>
      <c r="N278" s="10">
        <f>1173+211.14+36.36+23.46</f>
        <v>1443.9599999999998</v>
      </c>
      <c r="O278" s="10"/>
    </row>
    <row r="279" spans="1:15" s="25" customFormat="1" ht="12.75">
      <c r="A279" s="28">
        <v>5</v>
      </c>
      <c r="B279" s="29" t="s">
        <v>184</v>
      </c>
      <c r="C279" s="30">
        <f t="shared" si="69"/>
        <v>0</v>
      </c>
      <c r="D279" s="30">
        <f>D280</f>
        <v>0</v>
      </c>
      <c r="E279" s="30">
        <f>E280</f>
        <v>0</v>
      </c>
      <c r="F279" s="30">
        <f>F280</f>
        <v>0</v>
      </c>
      <c r="G279" s="30">
        <f aca="true" t="shared" si="70" ref="G279:O279">G280</f>
        <v>0</v>
      </c>
      <c r="H279" s="30">
        <f t="shared" si="70"/>
        <v>0</v>
      </c>
      <c r="I279" s="30">
        <f t="shared" si="70"/>
        <v>0</v>
      </c>
      <c r="J279" s="30">
        <f t="shared" si="70"/>
        <v>0</v>
      </c>
      <c r="K279" s="30">
        <f t="shared" si="70"/>
        <v>0</v>
      </c>
      <c r="L279" s="30">
        <f t="shared" si="70"/>
        <v>0</v>
      </c>
      <c r="M279" s="30">
        <f t="shared" si="70"/>
        <v>0</v>
      </c>
      <c r="N279" s="30">
        <f t="shared" si="70"/>
        <v>0</v>
      </c>
      <c r="O279" s="30">
        <f t="shared" si="70"/>
        <v>0</v>
      </c>
    </row>
    <row r="280" spans="1:15" ht="25.5">
      <c r="A280" s="35"/>
      <c r="B280" s="51" t="s">
        <v>231</v>
      </c>
      <c r="C280" s="10">
        <f t="shared" si="69"/>
        <v>0</v>
      </c>
      <c r="D280" s="10"/>
      <c r="E280" s="10"/>
      <c r="F280" s="10"/>
      <c r="G280" s="10"/>
      <c r="H280" s="10"/>
      <c r="I280" s="10"/>
      <c r="J280" s="10"/>
      <c r="K280" s="10"/>
      <c r="L280" s="10"/>
      <c r="M280" s="10"/>
      <c r="N280" s="10"/>
      <c r="O280" s="10"/>
    </row>
    <row r="281" spans="1:15" s="25" customFormat="1" ht="12.75">
      <c r="A281" s="28">
        <v>6</v>
      </c>
      <c r="B281" s="29" t="s">
        <v>255</v>
      </c>
      <c r="C281" s="30">
        <f t="shared" si="69"/>
        <v>1414.42</v>
      </c>
      <c r="D281" s="30">
        <f>D282</f>
        <v>0</v>
      </c>
      <c r="E281" s="30">
        <f aca="true" t="shared" si="71" ref="E281:O281">E282</f>
        <v>0</v>
      </c>
      <c r="F281" s="30">
        <f t="shared" si="71"/>
        <v>0</v>
      </c>
      <c r="G281" s="30">
        <f t="shared" si="71"/>
        <v>0</v>
      </c>
      <c r="H281" s="30">
        <f t="shared" si="71"/>
        <v>0</v>
      </c>
      <c r="I281" s="30">
        <f t="shared" si="71"/>
        <v>1414.42</v>
      </c>
      <c r="J281" s="30">
        <f t="shared" si="71"/>
        <v>0</v>
      </c>
      <c r="K281" s="30">
        <f t="shared" si="71"/>
        <v>0</v>
      </c>
      <c r="L281" s="30">
        <f t="shared" si="71"/>
        <v>0</v>
      </c>
      <c r="M281" s="30">
        <f t="shared" si="71"/>
        <v>0</v>
      </c>
      <c r="N281" s="30">
        <f t="shared" si="71"/>
        <v>0</v>
      </c>
      <c r="O281" s="30">
        <f t="shared" si="71"/>
        <v>0</v>
      </c>
    </row>
    <row r="282" spans="1:15" ht="38.25">
      <c r="A282" s="35"/>
      <c r="B282" s="51" t="s">
        <v>256</v>
      </c>
      <c r="C282" s="10">
        <f t="shared" si="69"/>
        <v>1414.42</v>
      </c>
      <c r="D282" s="10"/>
      <c r="E282" s="10"/>
      <c r="F282" s="10"/>
      <c r="G282" s="10"/>
      <c r="H282" s="10"/>
      <c r="I282" s="10">
        <v>1414.42</v>
      </c>
      <c r="J282" s="10"/>
      <c r="K282" s="10"/>
      <c r="L282" s="10"/>
      <c r="M282" s="10"/>
      <c r="N282" s="10"/>
      <c r="O282" s="10"/>
    </row>
    <row r="283" spans="1:15" s="25" customFormat="1" ht="12.75">
      <c r="A283" s="28">
        <v>7</v>
      </c>
      <c r="B283" s="29" t="s">
        <v>264</v>
      </c>
      <c r="C283" s="30">
        <f t="shared" si="69"/>
        <v>17687.010000000002</v>
      </c>
      <c r="D283" s="30">
        <f>D284</f>
        <v>0</v>
      </c>
      <c r="E283" s="30">
        <f aca="true" t="shared" si="72" ref="E283:O283">E284</f>
        <v>0</v>
      </c>
      <c r="F283" s="30">
        <f t="shared" si="72"/>
        <v>0</v>
      </c>
      <c r="G283" s="30">
        <f t="shared" si="72"/>
        <v>0</v>
      </c>
      <c r="H283" s="30">
        <f t="shared" si="72"/>
        <v>0</v>
      </c>
      <c r="I283" s="30">
        <f t="shared" si="72"/>
        <v>0</v>
      </c>
      <c r="J283" s="30">
        <f t="shared" si="72"/>
        <v>0</v>
      </c>
      <c r="K283" s="30">
        <f t="shared" si="72"/>
        <v>14856.94</v>
      </c>
      <c r="L283" s="30">
        <f t="shared" si="72"/>
        <v>2830.07</v>
      </c>
      <c r="M283" s="30">
        <f t="shared" si="72"/>
        <v>0</v>
      </c>
      <c r="N283" s="30">
        <f t="shared" si="72"/>
        <v>0</v>
      </c>
      <c r="O283" s="52">
        <f t="shared" si="72"/>
        <v>0</v>
      </c>
    </row>
    <row r="284" spans="1:15" ht="12.75">
      <c r="A284" s="35"/>
      <c r="B284" s="51" t="s">
        <v>265</v>
      </c>
      <c r="C284" s="10">
        <f t="shared" si="69"/>
        <v>17687.010000000002</v>
      </c>
      <c r="D284" s="10"/>
      <c r="E284" s="10"/>
      <c r="F284" s="10"/>
      <c r="G284" s="10"/>
      <c r="H284" s="10"/>
      <c r="I284" s="10"/>
      <c r="J284" s="10"/>
      <c r="K284" s="10">
        <v>14856.94</v>
      </c>
      <c r="L284" s="10">
        <v>2830.07</v>
      </c>
      <c r="M284" s="10"/>
      <c r="N284" s="10"/>
      <c r="O284" s="10"/>
    </row>
    <row r="285" spans="1:15" s="25" customFormat="1" ht="12.75">
      <c r="A285" s="28">
        <v>8</v>
      </c>
      <c r="B285" s="29" t="s">
        <v>186</v>
      </c>
      <c r="C285" s="30">
        <f t="shared" si="69"/>
        <v>7122.56</v>
      </c>
      <c r="D285" s="30">
        <f>D286</f>
        <v>0</v>
      </c>
      <c r="E285" s="30">
        <f aca="true" t="shared" si="73" ref="E285:O285">E286</f>
        <v>0</v>
      </c>
      <c r="F285" s="30">
        <f t="shared" si="73"/>
        <v>0</v>
      </c>
      <c r="G285" s="30">
        <f t="shared" si="73"/>
        <v>0</v>
      </c>
      <c r="H285" s="30">
        <f t="shared" si="73"/>
        <v>7122.56</v>
      </c>
      <c r="I285" s="30">
        <f t="shared" si="73"/>
        <v>0</v>
      </c>
      <c r="J285" s="30">
        <f t="shared" si="73"/>
        <v>0</v>
      </c>
      <c r="K285" s="30">
        <f t="shared" si="73"/>
        <v>0</v>
      </c>
      <c r="L285" s="30">
        <f t="shared" si="73"/>
        <v>0</v>
      </c>
      <c r="M285" s="30">
        <f t="shared" si="73"/>
        <v>0</v>
      </c>
      <c r="N285" s="30">
        <f t="shared" si="73"/>
        <v>0</v>
      </c>
      <c r="O285" s="30">
        <f t="shared" si="73"/>
        <v>0</v>
      </c>
    </row>
    <row r="286" spans="1:15" ht="38.25">
      <c r="A286" s="35"/>
      <c r="B286" s="51" t="s">
        <v>253</v>
      </c>
      <c r="C286" s="10">
        <f t="shared" si="69"/>
        <v>7122.56</v>
      </c>
      <c r="D286" s="10"/>
      <c r="E286" s="10"/>
      <c r="F286" s="10"/>
      <c r="G286" s="10"/>
      <c r="H286" s="10">
        <v>7122.56</v>
      </c>
      <c r="I286" s="10"/>
      <c r="J286" s="10"/>
      <c r="K286" s="10"/>
      <c r="L286" s="10"/>
      <c r="M286" s="10"/>
      <c r="N286" s="10"/>
      <c r="O286" s="10"/>
    </row>
    <row r="287" spans="1:15" s="25" customFormat="1" ht="12.75">
      <c r="A287" s="28">
        <v>9</v>
      </c>
      <c r="B287" s="29" t="s">
        <v>191</v>
      </c>
      <c r="C287" s="30">
        <f t="shared" si="69"/>
        <v>2971.6299999999997</v>
      </c>
      <c r="D287" s="30">
        <f>D288+D289</f>
        <v>0</v>
      </c>
      <c r="E287" s="30">
        <f aca="true" t="shared" si="74" ref="E287:O287">E288+E289</f>
        <v>0</v>
      </c>
      <c r="F287" s="30">
        <f t="shared" si="74"/>
        <v>849.39</v>
      </c>
      <c r="G287" s="30">
        <f t="shared" si="74"/>
        <v>2122.24</v>
      </c>
      <c r="H287" s="30">
        <f t="shared" si="74"/>
        <v>0</v>
      </c>
      <c r="I287" s="30">
        <f t="shared" si="74"/>
        <v>0</v>
      </c>
      <c r="J287" s="30">
        <f t="shared" si="74"/>
        <v>0</v>
      </c>
      <c r="K287" s="30">
        <f t="shared" si="74"/>
        <v>0</v>
      </c>
      <c r="L287" s="30">
        <f t="shared" si="74"/>
        <v>0</v>
      </c>
      <c r="M287" s="30">
        <f t="shared" si="74"/>
        <v>0</v>
      </c>
      <c r="N287" s="30">
        <f t="shared" si="74"/>
        <v>0</v>
      </c>
      <c r="O287" s="30">
        <f t="shared" si="74"/>
        <v>0</v>
      </c>
    </row>
    <row r="288" spans="1:15" ht="25.5">
      <c r="A288" s="35"/>
      <c r="B288" s="51" t="s">
        <v>249</v>
      </c>
      <c r="C288" s="10">
        <f t="shared" si="69"/>
        <v>849.39</v>
      </c>
      <c r="D288" s="10"/>
      <c r="E288" s="10"/>
      <c r="F288" s="10">
        <v>849.39</v>
      </c>
      <c r="G288" s="10"/>
      <c r="H288" s="10"/>
      <c r="I288" s="10"/>
      <c r="J288" s="10"/>
      <c r="K288" s="10"/>
      <c r="L288" s="10"/>
      <c r="M288" s="10"/>
      <c r="N288" s="10"/>
      <c r="O288" s="10"/>
    </row>
    <row r="289" spans="1:15" ht="25.5">
      <c r="A289" s="35"/>
      <c r="B289" s="51" t="s">
        <v>250</v>
      </c>
      <c r="C289" s="10">
        <f t="shared" si="69"/>
        <v>2122.24</v>
      </c>
      <c r="D289" s="10"/>
      <c r="E289" s="10"/>
      <c r="F289" s="10"/>
      <c r="G289" s="10">
        <v>2122.24</v>
      </c>
      <c r="H289" s="10"/>
      <c r="I289" s="10"/>
      <c r="J289" s="10"/>
      <c r="K289" s="10"/>
      <c r="L289" s="10"/>
      <c r="M289" s="10"/>
      <c r="N289" s="10"/>
      <c r="O289" s="10"/>
    </row>
    <row r="290" spans="1:15" s="25" customFormat="1" ht="12.75">
      <c r="A290" s="28">
        <v>10</v>
      </c>
      <c r="B290" s="29" t="s">
        <v>187</v>
      </c>
      <c r="C290" s="30">
        <f t="shared" si="69"/>
        <v>62654.189999999995</v>
      </c>
      <c r="D290" s="30">
        <f>D292+D291+D293+D294+D295+D296</f>
        <v>0</v>
      </c>
      <c r="E290" s="30">
        <f>E292+E291+E293+E294+E295+E296</f>
        <v>1200</v>
      </c>
      <c r="F290" s="30">
        <f aca="true" t="shared" si="75" ref="F290:O290">F292+F291+F293+F294+F295+F296</f>
        <v>1200</v>
      </c>
      <c r="G290" s="30">
        <f t="shared" si="75"/>
        <v>1200</v>
      </c>
      <c r="H290" s="30">
        <f t="shared" si="75"/>
        <v>4737.889999999999</v>
      </c>
      <c r="I290" s="30">
        <f t="shared" si="75"/>
        <v>600</v>
      </c>
      <c r="J290" s="30">
        <f t="shared" si="75"/>
        <v>28013.649999999998</v>
      </c>
      <c r="K290" s="30">
        <f t="shared" si="75"/>
        <v>4737.889999999999</v>
      </c>
      <c r="L290" s="30">
        <f t="shared" si="75"/>
        <v>12626.87</v>
      </c>
      <c r="M290" s="30">
        <f t="shared" si="75"/>
        <v>2400</v>
      </c>
      <c r="N290" s="30">
        <f t="shared" si="75"/>
        <v>1200</v>
      </c>
      <c r="O290" s="30">
        <f t="shared" si="75"/>
        <v>4737.889999999999</v>
      </c>
    </row>
    <row r="291" spans="1:15" ht="12.75">
      <c r="A291" s="35"/>
      <c r="B291" s="51" t="s">
        <v>196</v>
      </c>
      <c r="C291" s="10">
        <f t="shared" si="69"/>
        <v>13200</v>
      </c>
      <c r="D291" s="74"/>
      <c r="E291" s="11">
        <v>1200</v>
      </c>
      <c r="F291" s="11">
        <v>1200</v>
      </c>
      <c r="G291" s="11">
        <v>1200</v>
      </c>
      <c r="H291" s="11">
        <v>1200</v>
      </c>
      <c r="I291" s="10">
        <v>600</v>
      </c>
      <c r="J291" s="10">
        <v>1200</v>
      </c>
      <c r="K291" s="10">
        <v>1200</v>
      </c>
      <c r="L291" s="10">
        <v>600</v>
      </c>
      <c r="M291" s="10">
        <v>2400</v>
      </c>
      <c r="N291" s="10">
        <v>1200</v>
      </c>
      <c r="O291" s="10">
        <v>1200</v>
      </c>
    </row>
    <row r="292" spans="1:15" ht="25.5">
      <c r="A292" s="35"/>
      <c r="B292" s="51" t="s">
        <v>254</v>
      </c>
      <c r="C292" s="10">
        <f t="shared" si="69"/>
        <v>10613.67</v>
      </c>
      <c r="D292" s="10"/>
      <c r="E292" s="10"/>
      <c r="F292" s="10"/>
      <c r="G292" s="10"/>
      <c r="H292" s="11">
        <v>3537.89</v>
      </c>
      <c r="I292" s="10"/>
      <c r="J292" s="10"/>
      <c r="K292" s="10">
        <v>3537.89</v>
      </c>
      <c r="L292" s="10"/>
      <c r="M292" s="10"/>
      <c r="N292" s="10"/>
      <c r="O292" s="10">
        <v>3537.89</v>
      </c>
    </row>
    <row r="293" spans="1:15" ht="38.25">
      <c r="A293" s="35"/>
      <c r="B293" s="51" t="s">
        <v>258</v>
      </c>
      <c r="C293" s="10">
        <f t="shared" si="69"/>
        <v>8490.21</v>
      </c>
      <c r="D293" s="10"/>
      <c r="E293" s="10"/>
      <c r="F293" s="10"/>
      <c r="G293" s="10"/>
      <c r="H293" s="11"/>
      <c r="I293" s="10"/>
      <c r="J293" s="10">
        <v>8490.21</v>
      </c>
      <c r="K293" s="10"/>
      <c r="L293" s="10"/>
      <c r="M293" s="10"/>
      <c r="N293" s="10"/>
      <c r="O293" s="10"/>
    </row>
    <row r="294" spans="1:15" ht="38.25">
      <c r="A294" s="35"/>
      <c r="B294" s="51" t="s">
        <v>259</v>
      </c>
      <c r="C294" s="10">
        <f t="shared" si="69"/>
        <v>10399.49</v>
      </c>
      <c r="D294" s="10"/>
      <c r="E294" s="10"/>
      <c r="F294" s="10"/>
      <c r="G294" s="10"/>
      <c r="H294" s="11"/>
      <c r="I294" s="10"/>
      <c r="J294" s="10">
        <v>10399.49</v>
      </c>
      <c r="K294" s="10"/>
      <c r="L294" s="10"/>
      <c r="M294" s="10"/>
      <c r="N294" s="10"/>
      <c r="O294" s="10"/>
    </row>
    <row r="295" spans="1:15" ht="38.25">
      <c r="A295" s="35"/>
      <c r="B295" s="51" t="s">
        <v>260</v>
      </c>
      <c r="C295" s="10">
        <f t="shared" si="69"/>
        <v>7923.95</v>
      </c>
      <c r="D295" s="10"/>
      <c r="E295" s="10"/>
      <c r="F295" s="10"/>
      <c r="G295" s="10"/>
      <c r="H295" s="11"/>
      <c r="I295" s="10"/>
      <c r="J295" s="10">
        <v>7923.95</v>
      </c>
      <c r="K295" s="10"/>
      <c r="L295" s="10"/>
      <c r="M295" s="10"/>
      <c r="N295" s="10"/>
      <c r="O295" s="10"/>
    </row>
    <row r="296" spans="1:15" ht="12.75">
      <c r="A296" s="35"/>
      <c r="B296" s="51" t="s">
        <v>265</v>
      </c>
      <c r="C296" s="10">
        <f t="shared" si="69"/>
        <v>12026.87</v>
      </c>
      <c r="D296" s="10"/>
      <c r="E296" s="10"/>
      <c r="F296" s="10"/>
      <c r="G296" s="10"/>
      <c r="H296" s="11"/>
      <c r="I296" s="10"/>
      <c r="J296" s="10"/>
      <c r="K296" s="10"/>
      <c r="L296" s="10">
        <v>12026.87</v>
      </c>
      <c r="M296" s="10"/>
      <c r="N296" s="10"/>
      <c r="O296" s="10"/>
    </row>
    <row r="297" spans="1:15" s="25" customFormat="1" ht="12.75">
      <c r="A297" s="28">
        <v>11</v>
      </c>
      <c r="B297" s="29" t="s">
        <v>52</v>
      </c>
      <c r="C297" s="30">
        <f t="shared" si="69"/>
        <v>0</v>
      </c>
      <c r="D297" s="30">
        <f>D298+D299</f>
        <v>0</v>
      </c>
      <c r="E297" s="30">
        <f aca="true" t="shared" si="76" ref="E297:O297">E298+E299</f>
        <v>0</v>
      </c>
      <c r="F297" s="30">
        <f t="shared" si="76"/>
        <v>0</v>
      </c>
      <c r="G297" s="30">
        <f t="shared" si="76"/>
        <v>0</v>
      </c>
      <c r="H297" s="30">
        <f t="shared" si="76"/>
        <v>0</v>
      </c>
      <c r="I297" s="30">
        <f t="shared" si="76"/>
        <v>0</v>
      </c>
      <c r="J297" s="30">
        <f t="shared" si="76"/>
        <v>0</v>
      </c>
      <c r="K297" s="30">
        <f t="shared" si="76"/>
        <v>0</v>
      </c>
      <c r="L297" s="30">
        <f t="shared" si="76"/>
        <v>0</v>
      </c>
      <c r="M297" s="30">
        <f t="shared" si="76"/>
        <v>0</v>
      </c>
      <c r="N297" s="30">
        <f t="shared" si="76"/>
        <v>0</v>
      </c>
      <c r="O297" s="30">
        <f t="shared" si="76"/>
        <v>0</v>
      </c>
    </row>
    <row r="298" spans="1:15" ht="51">
      <c r="A298" s="35"/>
      <c r="B298" s="51" t="s">
        <v>188</v>
      </c>
      <c r="C298" s="10">
        <f t="shared" si="69"/>
        <v>0</v>
      </c>
      <c r="D298" s="10"/>
      <c r="E298" s="10"/>
      <c r="F298" s="10"/>
      <c r="G298" s="10"/>
      <c r="H298" s="10"/>
      <c r="I298" s="10"/>
      <c r="J298" s="10"/>
      <c r="K298" s="10"/>
      <c r="L298" s="10"/>
      <c r="M298" s="10"/>
      <c r="N298" s="10"/>
      <c r="O298" s="10"/>
    </row>
    <row r="299" spans="1:15" ht="25.5">
      <c r="A299" s="35"/>
      <c r="B299" s="51" t="s">
        <v>189</v>
      </c>
      <c r="C299" s="10">
        <f t="shared" si="69"/>
        <v>0</v>
      </c>
      <c r="D299" s="10"/>
      <c r="E299" s="11"/>
      <c r="F299" s="10"/>
      <c r="G299" s="10"/>
      <c r="H299" s="10"/>
      <c r="I299" s="10"/>
      <c r="J299" s="10"/>
      <c r="K299" s="10"/>
      <c r="L299" s="10"/>
      <c r="M299" s="10"/>
      <c r="N299" s="10"/>
      <c r="O299" s="10"/>
    </row>
    <row r="300" spans="1:15" s="25" customFormat="1" ht="12.75">
      <c r="A300" s="28">
        <v>12</v>
      </c>
      <c r="B300" s="29" t="s">
        <v>190</v>
      </c>
      <c r="C300" s="30">
        <f t="shared" si="69"/>
        <v>4244.49</v>
      </c>
      <c r="D300" s="30">
        <f>D301</f>
        <v>0</v>
      </c>
      <c r="E300" s="30">
        <f aca="true" t="shared" si="77" ref="E300:O300">E301</f>
        <v>4244.49</v>
      </c>
      <c r="F300" s="30">
        <f t="shared" si="77"/>
        <v>0</v>
      </c>
      <c r="G300" s="30">
        <f t="shared" si="77"/>
        <v>0</v>
      </c>
      <c r="H300" s="30">
        <f t="shared" si="77"/>
        <v>0</v>
      </c>
      <c r="I300" s="30">
        <f t="shared" si="77"/>
        <v>0</v>
      </c>
      <c r="J300" s="30">
        <f t="shared" si="77"/>
        <v>0</v>
      </c>
      <c r="K300" s="30">
        <f t="shared" si="77"/>
        <v>0</v>
      </c>
      <c r="L300" s="30">
        <f t="shared" si="77"/>
        <v>0</v>
      </c>
      <c r="M300" s="30">
        <f t="shared" si="77"/>
        <v>0</v>
      </c>
      <c r="N300" s="30">
        <f t="shared" si="77"/>
        <v>0</v>
      </c>
      <c r="O300" s="30">
        <f t="shared" si="77"/>
        <v>0</v>
      </c>
    </row>
    <row r="301" spans="1:15" ht="63.75">
      <c r="A301" s="35"/>
      <c r="B301" s="51" t="s">
        <v>247</v>
      </c>
      <c r="C301" s="10">
        <f t="shared" si="69"/>
        <v>4244.49</v>
      </c>
      <c r="D301" s="10"/>
      <c r="E301" s="10">
        <v>4244.49</v>
      </c>
      <c r="F301" s="10"/>
      <c r="G301" s="10"/>
      <c r="H301" s="10"/>
      <c r="I301" s="10"/>
      <c r="J301" s="10"/>
      <c r="K301" s="10"/>
      <c r="L301" s="10"/>
      <c r="M301" s="10"/>
      <c r="N301" s="10"/>
      <c r="O301" s="10"/>
    </row>
    <row r="302" spans="1:16" s="25" customFormat="1" ht="12.75">
      <c r="A302" s="28">
        <v>13</v>
      </c>
      <c r="B302" s="29" t="s">
        <v>67</v>
      </c>
      <c r="C302" s="30">
        <f>SUM(D302:O302)</f>
        <v>2466.09</v>
      </c>
      <c r="D302" s="30">
        <f>D303</f>
        <v>0</v>
      </c>
      <c r="E302" s="30">
        <f aca="true" t="shared" si="78" ref="E302:N302">E303</f>
        <v>0</v>
      </c>
      <c r="F302" s="30">
        <f t="shared" si="78"/>
        <v>0</v>
      </c>
      <c r="G302" s="30">
        <f t="shared" si="78"/>
        <v>0</v>
      </c>
      <c r="H302" s="30">
        <f t="shared" si="78"/>
        <v>0</v>
      </c>
      <c r="I302" s="30">
        <f t="shared" si="78"/>
        <v>0</v>
      </c>
      <c r="J302" s="30">
        <f t="shared" si="78"/>
        <v>0</v>
      </c>
      <c r="K302" s="30">
        <f t="shared" si="78"/>
        <v>248.94</v>
      </c>
      <c r="L302" s="30">
        <f t="shared" si="78"/>
        <v>555.88</v>
      </c>
      <c r="M302" s="30">
        <f t="shared" si="78"/>
        <v>557.84</v>
      </c>
      <c r="N302" s="30">
        <f t="shared" si="78"/>
        <v>550.49</v>
      </c>
      <c r="O302" s="30">
        <v>552.94</v>
      </c>
      <c r="P302" s="25">
        <v>559.31</v>
      </c>
    </row>
    <row r="303" spans="1:15" ht="12.75">
      <c r="A303" s="35"/>
      <c r="B303" s="51" t="s">
        <v>288</v>
      </c>
      <c r="C303" s="10">
        <f>SUM(D303:O303)</f>
        <v>2466.09</v>
      </c>
      <c r="D303" s="10"/>
      <c r="E303" s="10"/>
      <c r="F303" s="10"/>
      <c r="G303" s="10"/>
      <c r="H303" s="10"/>
      <c r="I303" s="10"/>
      <c r="J303" s="10"/>
      <c r="K303" s="10">
        <v>248.94</v>
      </c>
      <c r="L303" s="10">
        <v>555.88</v>
      </c>
      <c r="M303" s="10">
        <v>557.84</v>
      </c>
      <c r="N303" s="10">
        <v>550.49</v>
      </c>
      <c r="O303" s="10">
        <v>552.94</v>
      </c>
    </row>
    <row r="304" spans="1:16" s="25" customFormat="1" ht="12.75">
      <c r="A304" s="28">
        <v>14</v>
      </c>
      <c r="B304" s="29" t="s">
        <v>283</v>
      </c>
      <c r="C304" s="30">
        <f t="shared" si="69"/>
        <v>34020</v>
      </c>
      <c r="D304" s="30">
        <f>D305</f>
        <v>0</v>
      </c>
      <c r="E304" s="30">
        <f aca="true" t="shared" si="79" ref="E304:P304">E305</f>
        <v>0</v>
      </c>
      <c r="F304" s="30">
        <f t="shared" si="79"/>
        <v>0</v>
      </c>
      <c r="G304" s="30">
        <f t="shared" si="79"/>
        <v>0</v>
      </c>
      <c r="H304" s="30">
        <f t="shared" si="79"/>
        <v>0</v>
      </c>
      <c r="I304" s="30">
        <f t="shared" si="79"/>
        <v>0</v>
      </c>
      <c r="J304" s="30">
        <f t="shared" si="79"/>
        <v>5670</v>
      </c>
      <c r="K304" s="30">
        <f t="shared" si="79"/>
        <v>5670</v>
      </c>
      <c r="L304" s="30">
        <f t="shared" si="79"/>
        <v>5670</v>
      </c>
      <c r="M304" s="30">
        <f t="shared" si="79"/>
        <v>5670</v>
      </c>
      <c r="N304" s="30">
        <f t="shared" si="79"/>
        <v>5670</v>
      </c>
      <c r="O304" s="30">
        <f t="shared" si="79"/>
        <v>5670</v>
      </c>
      <c r="P304" s="27">
        <f t="shared" si="79"/>
        <v>7170</v>
      </c>
    </row>
    <row r="305" spans="1:16" ht="12.75">
      <c r="A305" s="69"/>
      <c r="B305" s="51" t="s">
        <v>284</v>
      </c>
      <c r="C305" s="10">
        <f t="shared" si="69"/>
        <v>34020</v>
      </c>
      <c r="D305" s="10"/>
      <c r="E305" s="10"/>
      <c r="F305" s="10"/>
      <c r="G305" s="10"/>
      <c r="H305" s="10"/>
      <c r="I305" s="10"/>
      <c r="J305" s="10">
        <v>5670</v>
      </c>
      <c r="K305" s="10">
        <v>5670</v>
      </c>
      <c r="L305" s="10">
        <v>5670</v>
      </c>
      <c r="M305" s="10">
        <v>5670</v>
      </c>
      <c r="N305" s="10">
        <v>5670</v>
      </c>
      <c r="O305" s="10">
        <v>5670</v>
      </c>
      <c r="P305" s="31">
        <v>7170</v>
      </c>
    </row>
    <row r="306" spans="1:15" s="25" customFormat="1" ht="12.75">
      <c r="A306" s="28">
        <v>15</v>
      </c>
      <c r="B306" s="29" t="s">
        <v>237</v>
      </c>
      <c r="C306" s="30">
        <f aca="true" t="shared" si="80" ref="C306:C338">SUM(D306:O306)</f>
        <v>38784</v>
      </c>
      <c r="D306" s="30">
        <f aca="true" t="shared" si="81" ref="D306:O306">SUM(D307:D307)</f>
        <v>0</v>
      </c>
      <c r="E306" s="30">
        <f t="shared" si="81"/>
        <v>0</v>
      </c>
      <c r="F306" s="30">
        <f t="shared" si="81"/>
        <v>0</v>
      </c>
      <c r="G306" s="30">
        <f t="shared" si="81"/>
        <v>0</v>
      </c>
      <c r="H306" s="30">
        <f t="shared" si="81"/>
        <v>36360</v>
      </c>
      <c r="I306" s="30">
        <f t="shared" si="81"/>
        <v>2424</v>
      </c>
      <c r="J306" s="30">
        <f t="shared" si="81"/>
        <v>0</v>
      </c>
      <c r="K306" s="30">
        <f t="shared" si="81"/>
        <v>0</v>
      </c>
      <c r="L306" s="30">
        <f t="shared" si="81"/>
        <v>0</v>
      </c>
      <c r="M306" s="30">
        <f t="shared" si="81"/>
        <v>0</v>
      </c>
      <c r="N306" s="30">
        <f t="shared" si="81"/>
        <v>0</v>
      </c>
      <c r="O306" s="30">
        <f t="shared" si="81"/>
        <v>0</v>
      </c>
    </row>
    <row r="307" spans="1:15" ht="12.75">
      <c r="A307" s="37"/>
      <c r="B307" s="51" t="s">
        <v>238</v>
      </c>
      <c r="C307" s="10">
        <f t="shared" si="80"/>
        <v>38784</v>
      </c>
      <c r="D307" s="10"/>
      <c r="E307" s="10"/>
      <c r="F307" s="11"/>
      <c r="G307" s="10"/>
      <c r="H307" s="10">
        <v>36360</v>
      </c>
      <c r="I307" s="10">
        <v>2424</v>
      </c>
      <c r="J307" s="10"/>
      <c r="K307" s="10"/>
      <c r="L307" s="10"/>
      <c r="M307" s="10"/>
      <c r="N307" s="10"/>
      <c r="O307" s="10"/>
    </row>
    <row r="308" spans="1:15" s="25" customFormat="1" ht="12.75">
      <c r="A308" s="28">
        <v>16</v>
      </c>
      <c r="B308" s="29" t="s">
        <v>293</v>
      </c>
      <c r="C308" s="30">
        <f t="shared" si="80"/>
        <v>8492</v>
      </c>
      <c r="D308" s="30">
        <f aca="true" t="shared" si="82" ref="D308:O308">SUM(D309:D309)</f>
        <v>0</v>
      </c>
      <c r="E308" s="30">
        <f t="shared" si="82"/>
        <v>0</v>
      </c>
      <c r="F308" s="30">
        <f t="shared" si="82"/>
        <v>0</v>
      </c>
      <c r="G308" s="30">
        <f t="shared" si="82"/>
        <v>0</v>
      </c>
      <c r="H308" s="30">
        <f t="shared" si="82"/>
        <v>0</v>
      </c>
      <c r="I308" s="30">
        <f t="shared" si="82"/>
        <v>0</v>
      </c>
      <c r="J308" s="30">
        <f t="shared" si="82"/>
        <v>0</v>
      </c>
      <c r="K308" s="30">
        <f t="shared" si="82"/>
        <v>0</v>
      </c>
      <c r="L308" s="30">
        <f t="shared" si="82"/>
        <v>8492</v>
      </c>
      <c r="M308" s="30">
        <f t="shared" si="82"/>
        <v>0</v>
      </c>
      <c r="N308" s="30">
        <f t="shared" si="82"/>
        <v>0</v>
      </c>
      <c r="O308" s="30">
        <f t="shared" si="82"/>
        <v>0</v>
      </c>
    </row>
    <row r="309" spans="1:15" ht="12.75">
      <c r="A309" s="35"/>
      <c r="B309" s="51" t="s">
        <v>294</v>
      </c>
      <c r="C309" s="10">
        <f t="shared" si="80"/>
        <v>8492</v>
      </c>
      <c r="D309" s="10"/>
      <c r="E309" s="10"/>
      <c r="F309" s="10"/>
      <c r="G309" s="10"/>
      <c r="H309" s="10"/>
      <c r="I309" s="10"/>
      <c r="J309" s="10"/>
      <c r="K309" s="10"/>
      <c r="L309" s="10">
        <v>8492</v>
      </c>
      <c r="M309" s="10"/>
      <c r="N309" s="10"/>
      <c r="O309" s="10"/>
    </row>
    <row r="310" spans="1:15" s="25" customFormat="1" ht="12.75">
      <c r="A310" s="28">
        <v>17</v>
      </c>
      <c r="B310" s="29" t="s">
        <v>28</v>
      </c>
      <c r="C310" s="30">
        <f>SUM(D310:O310)</f>
        <v>356947</v>
      </c>
      <c r="D310" s="30">
        <f>SUM(D311:D316)</f>
        <v>25550</v>
      </c>
      <c r="E310" s="30">
        <f aca="true" t="shared" si="83" ref="E310:O310">SUM(E311:E316)</f>
        <v>29267</v>
      </c>
      <c r="F310" s="30">
        <f t="shared" si="83"/>
        <v>29497</v>
      </c>
      <c r="G310" s="30">
        <f t="shared" si="83"/>
        <v>29727</v>
      </c>
      <c r="H310" s="30">
        <f t="shared" si="83"/>
        <v>32287</v>
      </c>
      <c r="I310" s="30">
        <f t="shared" si="83"/>
        <v>30072</v>
      </c>
      <c r="J310" s="30">
        <f t="shared" si="83"/>
        <v>30072</v>
      </c>
      <c r="K310" s="30">
        <f t="shared" si="83"/>
        <v>30187</v>
      </c>
      <c r="L310" s="30">
        <f t="shared" si="83"/>
        <v>30187</v>
      </c>
      <c r="M310" s="30">
        <f t="shared" si="83"/>
        <v>29957</v>
      </c>
      <c r="N310" s="30">
        <f t="shared" si="83"/>
        <v>30072</v>
      </c>
      <c r="O310" s="30">
        <f t="shared" si="83"/>
        <v>30072</v>
      </c>
    </row>
    <row r="311" spans="1:16" ht="25.5">
      <c r="A311" s="35"/>
      <c r="B311" s="51" t="s">
        <v>31</v>
      </c>
      <c r="C311" s="10">
        <f>SUM(D311:O311)</f>
        <v>295475</v>
      </c>
      <c r="D311" s="10">
        <v>21200</v>
      </c>
      <c r="E311" s="10">
        <v>24265</v>
      </c>
      <c r="F311" s="10">
        <v>24495</v>
      </c>
      <c r="G311" s="10">
        <v>24725</v>
      </c>
      <c r="H311" s="10">
        <v>25185</v>
      </c>
      <c r="I311" s="10">
        <v>25070</v>
      </c>
      <c r="J311" s="10">
        <v>25070</v>
      </c>
      <c r="K311" s="10">
        <v>25185</v>
      </c>
      <c r="L311" s="10">
        <v>25185</v>
      </c>
      <c r="M311" s="10">
        <v>24955</v>
      </c>
      <c r="N311" s="10">
        <v>25070</v>
      </c>
      <c r="O311" s="10">
        <v>25070</v>
      </c>
      <c r="P311" s="31">
        <v>25070</v>
      </c>
    </row>
    <row r="312" spans="1:16" ht="25.5">
      <c r="A312" s="35"/>
      <c r="B312" s="51" t="s">
        <v>29</v>
      </c>
      <c r="C312" s="10">
        <f>SUM(D312:O312)</f>
        <v>59372</v>
      </c>
      <c r="D312" s="10">
        <v>4350</v>
      </c>
      <c r="E312" s="10">
        <v>5002</v>
      </c>
      <c r="F312" s="10">
        <v>5002</v>
      </c>
      <c r="G312" s="10">
        <v>5002</v>
      </c>
      <c r="H312" s="10">
        <v>5002</v>
      </c>
      <c r="I312" s="10">
        <v>5002</v>
      </c>
      <c r="J312" s="10">
        <v>5002</v>
      </c>
      <c r="K312" s="10">
        <v>5002</v>
      </c>
      <c r="L312" s="10">
        <v>5002</v>
      </c>
      <c r="M312" s="10">
        <v>5002</v>
      </c>
      <c r="N312" s="10">
        <v>5002</v>
      </c>
      <c r="O312" s="10">
        <v>5002</v>
      </c>
      <c r="P312" s="31">
        <v>5002</v>
      </c>
    </row>
    <row r="313" spans="1:15" ht="25.5">
      <c r="A313" s="35"/>
      <c r="B313" s="51" t="s">
        <v>279</v>
      </c>
      <c r="C313" s="10">
        <f t="shared" si="80"/>
        <v>2100</v>
      </c>
      <c r="D313" s="10"/>
      <c r="E313" s="10"/>
      <c r="F313" s="10"/>
      <c r="G313" s="10"/>
      <c r="H313" s="10">
        <v>2100</v>
      </c>
      <c r="I313" s="10"/>
      <c r="J313" s="10"/>
      <c r="K313" s="10"/>
      <c r="L313" s="10"/>
      <c r="M313" s="10"/>
      <c r="N313" s="10"/>
      <c r="O313" s="10"/>
    </row>
    <row r="314" spans="1:15" ht="25.5">
      <c r="A314" s="35"/>
      <c r="B314" s="51" t="s">
        <v>30</v>
      </c>
      <c r="C314" s="10">
        <f t="shared" si="80"/>
        <v>0</v>
      </c>
      <c r="D314" s="10"/>
      <c r="E314" s="10"/>
      <c r="F314" s="10"/>
      <c r="G314" s="10"/>
      <c r="H314" s="10"/>
      <c r="I314" s="10"/>
      <c r="J314" s="10"/>
      <c r="K314" s="10"/>
      <c r="L314" s="10"/>
      <c r="M314" s="10"/>
      <c r="N314" s="10"/>
      <c r="O314" s="10"/>
    </row>
    <row r="315" spans="1:15" ht="25.5">
      <c r="A315" s="35"/>
      <c r="B315" s="66" t="s">
        <v>163</v>
      </c>
      <c r="C315" s="10">
        <f t="shared" si="80"/>
        <v>0</v>
      </c>
      <c r="D315" s="10"/>
      <c r="E315" s="10"/>
      <c r="F315" s="10"/>
      <c r="G315" s="10"/>
      <c r="H315" s="10"/>
      <c r="I315" s="10"/>
      <c r="J315" s="10"/>
      <c r="K315" s="10"/>
      <c r="L315" s="10"/>
      <c r="M315" s="10"/>
      <c r="N315" s="10"/>
      <c r="O315" s="10"/>
    </row>
    <row r="316" spans="1:15" ht="25.5">
      <c r="A316" s="35"/>
      <c r="B316" s="51" t="s">
        <v>192</v>
      </c>
      <c r="C316" s="10">
        <f t="shared" si="80"/>
        <v>0</v>
      </c>
      <c r="D316" s="10"/>
      <c r="E316" s="10"/>
      <c r="F316" s="10"/>
      <c r="G316" s="10"/>
      <c r="H316" s="10"/>
      <c r="I316" s="10"/>
      <c r="J316" s="10"/>
      <c r="K316" s="10"/>
      <c r="L316" s="10"/>
      <c r="M316" s="10"/>
      <c r="N316" s="10"/>
      <c r="O316" s="10"/>
    </row>
    <row r="317" spans="1:15" s="25" customFormat="1" ht="12.75">
      <c r="A317" s="28">
        <v>18</v>
      </c>
      <c r="B317" s="49" t="s">
        <v>32</v>
      </c>
      <c r="C317" s="30">
        <f t="shared" si="80"/>
        <v>385669.62</v>
      </c>
      <c r="D317" s="30">
        <f>SUM(D318:D319)</f>
        <v>26086.92</v>
      </c>
      <c r="E317" s="30">
        <f aca="true" t="shared" si="84" ref="E317:O317">SUM(E318:E319)</f>
        <v>29544.84</v>
      </c>
      <c r="F317" s="30">
        <f t="shared" si="84"/>
        <v>55631.759999999995</v>
      </c>
      <c r="G317" s="30">
        <f t="shared" si="84"/>
        <v>29544.84</v>
      </c>
      <c r="H317" s="30">
        <f t="shared" si="84"/>
        <v>29544.84</v>
      </c>
      <c r="I317" s="30">
        <f t="shared" si="84"/>
        <v>29544.84</v>
      </c>
      <c r="J317" s="30">
        <f t="shared" si="84"/>
        <v>29544.84</v>
      </c>
      <c r="K317" s="30">
        <f t="shared" si="84"/>
        <v>29544.84</v>
      </c>
      <c r="L317" s="30">
        <f t="shared" si="84"/>
        <v>0</v>
      </c>
      <c r="M317" s="30">
        <f t="shared" si="84"/>
        <v>38047.380000000005</v>
      </c>
      <c r="N317" s="30">
        <f t="shared" si="84"/>
        <v>59089.68</v>
      </c>
      <c r="O317" s="30">
        <f t="shared" si="84"/>
        <v>29544.84</v>
      </c>
    </row>
    <row r="318" spans="1:15" ht="12.75">
      <c r="A318" s="35"/>
      <c r="B318" s="51" t="s">
        <v>33</v>
      </c>
      <c r="C318" s="10">
        <f t="shared" si="80"/>
        <v>377167.08</v>
      </c>
      <c r="D318" s="10">
        <v>26086.92</v>
      </c>
      <c r="E318" s="10">
        <v>29544.84</v>
      </c>
      <c r="F318" s="10">
        <f>26086.92+29544.84</f>
        <v>55631.759999999995</v>
      </c>
      <c r="G318" s="10">
        <v>29544.84</v>
      </c>
      <c r="H318" s="10">
        <v>29544.84</v>
      </c>
      <c r="I318" s="10">
        <v>29544.84</v>
      </c>
      <c r="J318" s="10">
        <v>29544.84</v>
      </c>
      <c r="K318" s="10">
        <v>29544.84</v>
      </c>
      <c r="L318" s="10"/>
      <c r="M318" s="10">
        <v>29544.84</v>
      </c>
      <c r="N318" s="10">
        <f>29544.84+29544.84</f>
        <v>59089.68</v>
      </c>
      <c r="O318" s="10">
        <v>29544.84</v>
      </c>
    </row>
    <row r="319" spans="1:15" ht="21">
      <c r="A319" s="35"/>
      <c r="B319" s="104" t="s">
        <v>296</v>
      </c>
      <c r="C319" s="10">
        <f t="shared" si="80"/>
        <v>8502.54</v>
      </c>
      <c r="D319" s="10"/>
      <c r="E319" s="10"/>
      <c r="F319" s="10"/>
      <c r="G319" s="48"/>
      <c r="H319" s="48"/>
      <c r="I319" s="10"/>
      <c r="J319" s="10"/>
      <c r="K319" s="10"/>
      <c r="L319" s="10"/>
      <c r="M319" s="10">
        <v>8502.54</v>
      </c>
      <c r="N319" s="10"/>
      <c r="O319" s="10"/>
    </row>
    <row r="320" spans="1:15" s="25" customFormat="1" ht="25.5">
      <c r="A320" s="28">
        <v>19</v>
      </c>
      <c r="B320" s="29" t="s">
        <v>418</v>
      </c>
      <c r="C320" s="30">
        <f t="shared" si="80"/>
        <v>5819</v>
      </c>
      <c r="D320" s="30"/>
      <c r="E320" s="30"/>
      <c r="F320" s="30"/>
      <c r="G320" s="30"/>
      <c r="H320" s="30"/>
      <c r="I320" s="30"/>
      <c r="J320" s="30"/>
      <c r="K320" s="30"/>
      <c r="L320" s="30"/>
      <c r="M320" s="30"/>
      <c r="N320" s="30"/>
      <c r="O320" s="30">
        <v>5819</v>
      </c>
    </row>
    <row r="321" spans="1:15" s="25" customFormat="1" ht="25.5">
      <c r="A321" s="28">
        <v>20</v>
      </c>
      <c r="B321" s="29" t="s">
        <v>34</v>
      </c>
      <c r="C321" s="30">
        <f t="shared" si="80"/>
        <v>11050</v>
      </c>
      <c r="D321" s="30"/>
      <c r="E321" s="30"/>
      <c r="F321" s="30"/>
      <c r="G321" s="30"/>
      <c r="H321" s="30"/>
      <c r="I321" s="30"/>
      <c r="J321" s="30"/>
      <c r="K321" s="30"/>
      <c r="L321" s="30"/>
      <c r="M321" s="30">
        <v>4420</v>
      </c>
      <c r="N321" s="30"/>
      <c r="O321" s="30">
        <v>6630</v>
      </c>
    </row>
    <row r="322" spans="1:15" s="25" customFormat="1" ht="12.75">
      <c r="A322" s="28">
        <v>22</v>
      </c>
      <c r="B322" s="29" t="s">
        <v>160</v>
      </c>
      <c r="C322" s="30">
        <f>SUM(D322:O322)</f>
        <v>25320</v>
      </c>
      <c r="D322" s="30">
        <f>SUM(D323:D324)</f>
        <v>4830</v>
      </c>
      <c r="E322" s="30">
        <f aca="true" t="shared" si="85" ref="E322:O322">SUM(E323:E324)</f>
        <v>4830</v>
      </c>
      <c r="F322" s="30">
        <f t="shared" si="85"/>
        <v>0</v>
      </c>
      <c r="G322" s="30">
        <f t="shared" si="85"/>
        <v>9660</v>
      </c>
      <c r="H322" s="30">
        <f t="shared" si="85"/>
        <v>6000</v>
      </c>
      <c r="I322" s="30">
        <f t="shared" si="85"/>
        <v>0</v>
      </c>
      <c r="J322" s="30">
        <f t="shared" si="85"/>
        <v>0</v>
      </c>
      <c r="K322" s="30">
        <f t="shared" si="85"/>
        <v>0</v>
      </c>
      <c r="L322" s="30">
        <f t="shared" si="85"/>
        <v>0</v>
      </c>
      <c r="M322" s="30">
        <f t="shared" si="85"/>
        <v>0</v>
      </c>
      <c r="N322" s="30">
        <f t="shared" si="85"/>
        <v>0</v>
      </c>
      <c r="O322" s="30">
        <f t="shared" si="85"/>
        <v>0</v>
      </c>
    </row>
    <row r="323" spans="1:15" ht="12.75">
      <c r="A323" s="35"/>
      <c r="B323" s="51" t="s">
        <v>161</v>
      </c>
      <c r="C323" s="10">
        <f>SUM(D323:O323)</f>
        <v>24150</v>
      </c>
      <c r="D323" s="10">
        <v>4830</v>
      </c>
      <c r="E323" s="10">
        <v>4830</v>
      </c>
      <c r="F323" s="10"/>
      <c r="G323" s="10">
        <f>4830+4830</f>
        <v>9660</v>
      </c>
      <c r="H323" s="11">
        <v>4830</v>
      </c>
      <c r="I323" s="10"/>
      <c r="J323" s="10"/>
      <c r="K323" s="10"/>
      <c r="L323" s="10"/>
      <c r="M323" s="10"/>
      <c r="N323" s="10"/>
      <c r="O323" s="10"/>
    </row>
    <row r="324" spans="1:15" ht="12.75">
      <c r="A324" s="35"/>
      <c r="B324" s="51" t="s">
        <v>300</v>
      </c>
      <c r="C324" s="10">
        <f>SUM(D324:O324)</f>
        <v>1170</v>
      </c>
      <c r="D324" s="10"/>
      <c r="E324" s="10"/>
      <c r="F324" s="10"/>
      <c r="G324" s="10"/>
      <c r="H324" s="10">
        <v>1170</v>
      </c>
      <c r="I324" s="10"/>
      <c r="J324" s="10"/>
      <c r="K324" s="10"/>
      <c r="L324" s="10"/>
      <c r="M324" s="10"/>
      <c r="N324" s="10"/>
      <c r="O324" s="10"/>
    </row>
    <row r="325" spans="1:15" s="25" customFormat="1" ht="25.5">
      <c r="A325" s="28">
        <v>23</v>
      </c>
      <c r="B325" s="29" t="s">
        <v>35</v>
      </c>
      <c r="C325" s="30">
        <f t="shared" si="80"/>
        <v>35409.840000000004</v>
      </c>
      <c r="D325" s="30">
        <v>2950.82</v>
      </c>
      <c r="E325" s="30">
        <v>2950.82</v>
      </c>
      <c r="F325" s="30"/>
      <c r="G325" s="30">
        <f>2950.82+2950.82</f>
        <v>5901.64</v>
      </c>
      <c r="H325" s="30">
        <v>2950.82</v>
      </c>
      <c r="I325" s="30">
        <v>2950.82</v>
      </c>
      <c r="J325" s="30"/>
      <c r="K325" s="30">
        <v>2950.82</v>
      </c>
      <c r="L325" s="30">
        <v>5901.64</v>
      </c>
      <c r="M325" s="30"/>
      <c r="N325" s="30">
        <v>2950.82</v>
      </c>
      <c r="O325" s="30">
        <f>2950.82+2950.82</f>
        <v>5901.64</v>
      </c>
    </row>
    <row r="326" spans="1:15" s="25" customFormat="1" ht="25.5">
      <c r="A326" s="28">
        <v>24</v>
      </c>
      <c r="B326" s="29" t="s">
        <v>37</v>
      </c>
      <c r="C326" s="30">
        <f t="shared" si="80"/>
        <v>19681.699999999997</v>
      </c>
      <c r="D326" s="30">
        <f aca="true" t="shared" si="86" ref="D326:O326">SUM(D327:D327)</f>
        <v>684</v>
      </c>
      <c r="E326" s="30">
        <f t="shared" si="86"/>
        <v>1301</v>
      </c>
      <c r="F326" s="30">
        <f t="shared" si="86"/>
        <v>1327.75</v>
      </c>
      <c r="G326" s="30">
        <f t="shared" si="86"/>
        <v>1552.27</v>
      </c>
      <c r="H326" s="52">
        <f t="shared" si="86"/>
        <v>1505.4</v>
      </c>
      <c r="I326" s="52">
        <f t="shared" si="86"/>
        <v>1343.05</v>
      </c>
      <c r="J326" s="30">
        <f t="shared" si="86"/>
        <v>1525.1</v>
      </c>
      <c r="K326" s="30">
        <f t="shared" si="86"/>
        <v>1393.25</v>
      </c>
      <c r="L326" s="30">
        <f t="shared" si="86"/>
        <v>1398.64</v>
      </c>
      <c r="M326" s="30">
        <f t="shared" si="86"/>
        <v>1583.7</v>
      </c>
      <c r="N326" s="30">
        <f t="shared" si="86"/>
        <v>3499.94</v>
      </c>
      <c r="O326" s="30">
        <f t="shared" si="86"/>
        <v>2567.6</v>
      </c>
    </row>
    <row r="327" spans="1:15" ht="12.75">
      <c r="A327" s="35"/>
      <c r="B327" s="51" t="s">
        <v>40</v>
      </c>
      <c r="C327" s="10">
        <f t="shared" si="80"/>
        <v>19681.699999999997</v>
      </c>
      <c r="D327" s="10">
        <v>684</v>
      </c>
      <c r="E327" s="10">
        <v>1301</v>
      </c>
      <c r="F327" s="10">
        <v>1327.75</v>
      </c>
      <c r="G327" s="10">
        <v>1552.27</v>
      </c>
      <c r="H327" s="10">
        <v>1505.4</v>
      </c>
      <c r="I327" s="10">
        <v>1343.05</v>
      </c>
      <c r="J327" s="10">
        <v>1525.1</v>
      </c>
      <c r="K327" s="10">
        <v>1393.25</v>
      </c>
      <c r="L327" s="10">
        <v>1398.64</v>
      </c>
      <c r="M327" s="10">
        <v>1583.7</v>
      </c>
      <c r="N327" s="10">
        <v>3499.94</v>
      </c>
      <c r="O327" s="10">
        <v>2567.6</v>
      </c>
    </row>
    <row r="328" spans="1:15" s="25" customFormat="1" ht="12.75">
      <c r="A328" s="28">
        <v>25</v>
      </c>
      <c r="B328" s="29" t="s">
        <v>156</v>
      </c>
      <c r="C328" s="30">
        <f t="shared" si="80"/>
        <v>106815.93</v>
      </c>
      <c r="D328" s="30">
        <f aca="true" t="shared" si="87" ref="D328:O328">SUM(D329:D334)</f>
        <v>15000</v>
      </c>
      <c r="E328" s="30">
        <f t="shared" si="87"/>
        <v>2200</v>
      </c>
      <c r="F328" s="30">
        <f t="shared" si="87"/>
        <v>2200</v>
      </c>
      <c r="G328" s="30">
        <f t="shared" si="87"/>
        <v>2200</v>
      </c>
      <c r="H328" s="30">
        <f t="shared" si="87"/>
        <v>32906.53</v>
      </c>
      <c r="I328" s="30">
        <f t="shared" si="87"/>
        <v>0</v>
      </c>
      <c r="J328" s="30">
        <f t="shared" si="87"/>
        <v>2200</v>
      </c>
      <c r="K328" s="30">
        <f t="shared" si="87"/>
        <v>4400</v>
      </c>
      <c r="L328" s="30">
        <f t="shared" si="87"/>
        <v>17200</v>
      </c>
      <c r="M328" s="30">
        <f t="shared" si="87"/>
        <v>2200</v>
      </c>
      <c r="N328" s="30">
        <f t="shared" si="87"/>
        <v>2200</v>
      </c>
      <c r="O328" s="30">
        <f t="shared" si="87"/>
        <v>24109.4</v>
      </c>
    </row>
    <row r="329" spans="1:15" ht="12.75">
      <c r="A329" s="35"/>
      <c r="B329" s="51" t="s">
        <v>295</v>
      </c>
      <c r="C329" s="10">
        <f t="shared" si="80"/>
        <v>34709.4</v>
      </c>
      <c r="D329" s="10"/>
      <c r="E329" s="10"/>
      <c r="F329" s="10"/>
      <c r="G329" s="10"/>
      <c r="H329" s="10"/>
      <c r="I329" s="10"/>
      <c r="J329" s="10"/>
      <c r="K329" s="10"/>
      <c r="L329" s="10">
        <v>15000</v>
      </c>
      <c r="M329" s="10"/>
      <c r="N329" s="10"/>
      <c r="O329" s="143">
        <v>19709.4</v>
      </c>
    </row>
    <row r="330" spans="1:15" ht="12.75">
      <c r="A330" s="35"/>
      <c r="B330" s="51" t="s">
        <v>218</v>
      </c>
      <c r="C330" s="10">
        <f t="shared" si="80"/>
        <v>0</v>
      </c>
      <c r="D330" s="10"/>
      <c r="E330" s="10"/>
      <c r="F330" s="10"/>
      <c r="G330" s="10"/>
      <c r="H330" s="10"/>
      <c r="I330" s="10"/>
      <c r="J330" s="10"/>
      <c r="K330" s="10"/>
      <c r="L330" s="10"/>
      <c r="M330" s="10"/>
      <c r="N330" s="10"/>
      <c r="O330" s="83"/>
    </row>
    <row r="331" spans="1:15" ht="63.75">
      <c r="A331" s="35"/>
      <c r="B331" s="51" t="s">
        <v>217</v>
      </c>
      <c r="C331" s="10">
        <f t="shared" si="80"/>
        <v>29706.53</v>
      </c>
      <c r="D331" s="10">
        <v>15000</v>
      </c>
      <c r="E331" s="10"/>
      <c r="F331" s="10"/>
      <c r="G331" s="10"/>
      <c r="H331" s="10">
        <v>14706.53</v>
      </c>
      <c r="I331" s="10"/>
      <c r="J331" s="10"/>
      <c r="K331" s="10"/>
      <c r="L331" s="10"/>
      <c r="M331" s="10"/>
      <c r="N331" s="10"/>
      <c r="O331" s="83"/>
    </row>
    <row r="332" spans="1:15" ht="51">
      <c r="A332" s="35"/>
      <c r="B332" s="51" t="s">
        <v>216</v>
      </c>
      <c r="C332" s="10">
        <f t="shared" si="80"/>
        <v>26400</v>
      </c>
      <c r="D332" s="10"/>
      <c r="E332" s="10">
        <v>2200</v>
      </c>
      <c r="F332" s="10">
        <v>2200</v>
      </c>
      <c r="G332" s="10">
        <v>2200</v>
      </c>
      <c r="H332" s="10">
        <v>2200</v>
      </c>
      <c r="I332" s="10"/>
      <c r="J332" s="10">
        <v>2200</v>
      </c>
      <c r="K332" s="10">
        <v>4400</v>
      </c>
      <c r="L332" s="10">
        <v>2200</v>
      </c>
      <c r="M332" s="10">
        <v>2200</v>
      </c>
      <c r="N332" s="11">
        <v>2200</v>
      </c>
      <c r="O332" s="10">
        <v>4400</v>
      </c>
    </row>
    <row r="333" spans="1:15" ht="51">
      <c r="A333" s="35"/>
      <c r="B333" s="51" t="s">
        <v>245</v>
      </c>
      <c r="C333" s="10">
        <f t="shared" si="80"/>
        <v>0</v>
      </c>
      <c r="D333" s="10"/>
      <c r="E333" s="10"/>
      <c r="F333" s="10"/>
      <c r="G333" s="10"/>
      <c r="H333" s="10"/>
      <c r="I333" s="10"/>
      <c r="J333" s="10"/>
      <c r="K333" s="10"/>
      <c r="L333" s="11"/>
      <c r="M333" s="10"/>
      <c r="N333" s="11"/>
      <c r="O333" s="10"/>
    </row>
    <row r="334" spans="1:15" ht="25.5">
      <c r="A334" s="35"/>
      <c r="B334" s="51" t="s">
        <v>276</v>
      </c>
      <c r="C334" s="10">
        <f t="shared" si="80"/>
        <v>16000</v>
      </c>
      <c r="D334" s="10"/>
      <c r="E334" s="10"/>
      <c r="F334" s="10"/>
      <c r="G334" s="10"/>
      <c r="H334" s="10">
        <v>16000</v>
      </c>
      <c r="I334" s="10"/>
      <c r="J334" s="10"/>
      <c r="K334" s="10"/>
      <c r="L334" s="11"/>
      <c r="M334" s="10"/>
      <c r="N334" s="11"/>
      <c r="O334" s="10"/>
    </row>
    <row r="335" spans="1:15" s="25" customFormat="1" ht="38.25">
      <c r="A335" s="28">
        <v>26</v>
      </c>
      <c r="B335" s="29" t="s">
        <v>38</v>
      </c>
      <c r="C335" s="30">
        <f t="shared" si="80"/>
        <v>1100</v>
      </c>
      <c r="D335" s="30"/>
      <c r="E335" s="30">
        <f>100+100</f>
        <v>200</v>
      </c>
      <c r="F335" s="30"/>
      <c r="G335" s="30">
        <f>200</f>
        <v>200</v>
      </c>
      <c r="H335" s="30">
        <v>100</v>
      </c>
      <c r="I335" s="30"/>
      <c r="J335" s="30">
        <v>200</v>
      </c>
      <c r="K335" s="30"/>
      <c r="L335" s="30">
        <v>200</v>
      </c>
      <c r="M335" s="30">
        <v>100</v>
      </c>
      <c r="N335" s="30"/>
      <c r="O335" s="30">
        <v>100</v>
      </c>
    </row>
    <row r="336" spans="1:15" s="25" customFormat="1" ht="38.25">
      <c r="A336" s="28">
        <v>27</v>
      </c>
      <c r="B336" s="29" t="s">
        <v>36</v>
      </c>
      <c r="C336" s="30">
        <f t="shared" si="80"/>
        <v>6438.9000000000015</v>
      </c>
      <c r="D336" s="30">
        <f>D337</f>
        <v>627.38</v>
      </c>
      <c r="E336" s="30">
        <f aca="true" t="shared" si="88" ref="E336:O336">E337</f>
        <v>726.44</v>
      </c>
      <c r="F336" s="30">
        <f t="shared" si="88"/>
        <v>0</v>
      </c>
      <c r="G336" s="30">
        <f t="shared" si="88"/>
        <v>1452.88</v>
      </c>
      <c r="H336" s="30">
        <f t="shared" si="88"/>
        <v>726.44</v>
      </c>
      <c r="I336" s="30">
        <f t="shared" si="88"/>
        <v>726.44</v>
      </c>
      <c r="J336" s="30">
        <f t="shared" si="88"/>
        <v>726.44</v>
      </c>
      <c r="K336" s="30">
        <f t="shared" si="88"/>
        <v>726.44</v>
      </c>
      <c r="L336" s="30">
        <f t="shared" si="88"/>
        <v>726.44</v>
      </c>
      <c r="M336" s="30">
        <f t="shared" si="88"/>
        <v>0</v>
      </c>
      <c r="N336" s="30">
        <f t="shared" si="88"/>
        <v>0</v>
      </c>
      <c r="O336" s="30">
        <f t="shared" si="88"/>
        <v>0</v>
      </c>
    </row>
    <row r="337" spans="1:15" s="25" customFormat="1" ht="25.5">
      <c r="A337" s="28"/>
      <c r="B337" s="51" t="s">
        <v>292</v>
      </c>
      <c r="C337" s="10">
        <f t="shared" si="80"/>
        <v>6438.9000000000015</v>
      </c>
      <c r="D337" s="10">
        <v>627.38</v>
      </c>
      <c r="E337" s="10">
        <v>726.44</v>
      </c>
      <c r="F337" s="10"/>
      <c r="G337" s="10">
        <f>726.44+726.44</f>
        <v>1452.88</v>
      </c>
      <c r="H337" s="10">
        <v>726.44</v>
      </c>
      <c r="I337" s="10">
        <v>726.44</v>
      </c>
      <c r="J337" s="10">
        <v>726.44</v>
      </c>
      <c r="K337" s="10">
        <v>726.44</v>
      </c>
      <c r="L337" s="10">
        <v>726.44</v>
      </c>
      <c r="M337" s="10"/>
      <c r="N337" s="10"/>
      <c r="O337" s="10"/>
    </row>
    <row r="338" spans="1:15" s="25" customFormat="1" ht="39" customHeight="1">
      <c r="A338" s="28"/>
      <c r="B338" s="29" t="str">
        <f>B173</f>
        <v>Анализ воды СЭС Роспотребнадзор 2 шт. ( на металлы и общий)</v>
      </c>
      <c r="C338" s="30">
        <f t="shared" si="80"/>
        <v>5317.08</v>
      </c>
      <c r="D338" s="30"/>
      <c r="E338" s="30"/>
      <c r="F338" s="30"/>
      <c r="G338" s="30"/>
      <c r="H338" s="30"/>
      <c r="I338" s="30"/>
      <c r="J338" s="30"/>
      <c r="K338" s="30"/>
      <c r="L338" s="30">
        <v>1430.16</v>
      </c>
      <c r="M338" s="30"/>
      <c r="N338" s="30"/>
      <c r="O338" s="30">
        <v>3886.92</v>
      </c>
    </row>
    <row r="339" spans="1:15" s="25" customFormat="1" ht="12.75">
      <c r="A339" s="28">
        <v>28</v>
      </c>
      <c r="B339" s="29" t="s">
        <v>278</v>
      </c>
      <c r="C339" s="30">
        <f aca="true" t="shared" si="89" ref="C339:C370">SUM(D339:O339)</f>
        <v>6738</v>
      </c>
      <c r="D339" s="30"/>
      <c r="E339" s="30"/>
      <c r="F339" s="30"/>
      <c r="G339" s="30"/>
      <c r="H339" s="30">
        <v>6738</v>
      </c>
      <c r="I339" s="30"/>
      <c r="J339" s="30"/>
      <c r="K339" s="30"/>
      <c r="L339" s="30"/>
      <c r="M339" s="30"/>
      <c r="N339" s="30"/>
      <c r="O339" s="30"/>
    </row>
    <row r="340" spans="1:15" s="25" customFormat="1" ht="25.5">
      <c r="A340" s="28">
        <v>29</v>
      </c>
      <c r="B340" s="29" t="s">
        <v>277</v>
      </c>
      <c r="C340" s="30">
        <f t="shared" si="89"/>
        <v>3475</v>
      </c>
      <c r="D340" s="30"/>
      <c r="E340" s="30"/>
      <c r="F340" s="30"/>
      <c r="G340" s="30">
        <v>3475</v>
      </c>
      <c r="H340" s="30"/>
      <c r="I340" s="30"/>
      <c r="J340" s="30"/>
      <c r="K340" s="30"/>
      <c r="L340" s="30"/>
      <c r="M340" s="30"/>
      <c r="N340" s="30"/>
      <c r="O340" s="30"/>
    </row>
    <row r="341" spans="1:15" s="25" customFormat="1" ht="12.75">
      <c r="A341" s="28">
        <v>30</v>
      </c>
      <c r="B341" s="29" t="s">
        <v>280</v>
      </c>
      <c r="C341" s="30">
        <f t="shared" si="89"/>
        <v>7900.02</v>
      </c>
      <c r="D341" s="30"/>
      <c r="E341" s="30"/>
      <c r="F341" s="30"/>
      <c r="G341" s="30"/>
      <c r="H341" s="30"/>
      <c r="I341" s="30">
        <v>7900.02</v>
      </c>
      <c r="J341" s="30"/>
      <c r="K341" s="30"/>
      <c r="L341" s="30"/>
      <c r="M341" s="30"/>
      <c r="N341" s="30"/>
      <c r="O341" s="30"/>
    </row>
    <row r="342" spans="1:15" s="25" customFormat="1" ht="25.5">
      <c r="A342" s="28">
        <v>31</v>
      </c>
      <c r="B342" s="29" t="s">
        <v>39</v>
      </c>
      <c r="C342" s="30">
        <f t="shared" si="89"/>
        <v>8650</v>
      </c>
      <c r="D342" s="30">
        <f>SUM(D343:D345)</f>
        <v>0</v>
      </c>
      <c r="E342" s="30">
        <f aca="true" t="shared" si="90" ref="E342:O342">SUM(E343:E345)</f>
        <v>0</v>
      </c>
      <c r="F342" s="30">
        <f t="shared" si="90"/>
        <v>0</v>
      </c>
      <c r="G342" s="30">
        <f t="shared" si="90"/>
        <v>0</v>
      </c>
      <c r="H342" s="30">
        <f t="shared" si="90"/>
        <v>0</v>
      </c>
      <c r="I342" s="30">
        <f t="shared" si="90"/>
        <v>0</v>
      </c>
      <c r="J342" s="30">
        <f t="shared" si="90"/>
        <v>0</v>
      </c>
      <c r="K342" s="30">
        <f t="shared" si="90"/>
        <v>4700</v>
      </c>
      <c r="L342" s="30">
        <f t="shared" si="90"/>
        <v>0</v>
      </c>
      <c r="M342" s="30">
        <f t="shared" si="90"/>
        <v>0</v>
      </c>
      <c r="N342" s="30">
        <f t="shared" si="90"/>
        <v>0</v>
      </c>
      <c r="O342" s="30">
        <f t="shared" si="90"/>
        <v>3950</v>
      </c>
    </row>
    <row r="343" spans="1:15" ht="25.5">
      <c r="A343" s="35"/>
      <c r="B343" s="51" t="s">
        <v>195</v>
      </c>
      <c r="C343" s="10">
        <f t="shared" si="89"/>
        <v>4700</v>
      </c>
      <c r="D343" s="10"/>
      <c r="E343" s="10"/>
      <c r="F343" s="10"/>
      <c r="G343" s="10"/>
      <c r="H343" s="10"/>
      <c r="I343" s="10"/>
      <c r="J343" s="10"/>
      <c r="K343" s="10">
        <v>4700</v>
      </c>
      <c r="L343" s="10"/>
      <c r="M343" s="10"/>
      <c r="N343" s="10"/>
      <c r="O343" s="10"/>
    </row>
    <row r="344" spans="1:15" ht="25.5">
      <c r="A344" s="35"/>
      <c r="B344" s="51" t="s">
        <v>41</v>
      </c>
      <c r="C344" s="10">
        <f t="shared" si="89"/>
        <v>3950</v>
      </c>
      <c r="D344" s="10"/>
      <c r="E344" s="10"/>
      <c r="F344" s="10"/>
      <c r="G344" s="10"/>
      <c r="H344" s="10"/>
      <c r="I344" s="10"/>
      <c r="J344" s="10"/>
      <c r="K344" s="10"/>
      <c r="L344" s="10"/>
      <c r="M344" s="10"/>
      <c r="N344" s="10"/>
      <c r="O344" s="10">
        <v>3950</v>
      </c>
    </row>
    <row r="345" spans="1:15" ht="25.5">
      <c r="A345" s="35"/>
      <c r="B345" s="51" t="s">
        <v>42</v>
      </c>
      <c r="C345" s="10">
        <f t="shared" si="89"/>
        <v>0</v>
      </c>
      <c r="D345" s="10"/>
      <c r="E345" s="10"/>
      <c r="F345" s="10"/>
      <c r="G345" s="10"/>
      <c r="H345" s="10"/>
      <c r="I345" s="10"/>
      <c r="J345" s="10"/>
      <c r="K345" s="10"/>
      <c r="L345" s="10"/>
      <c r="M345" s="10"/>
      <c r="N345" s="10"/>
      <c r="O345" s="10"/>
    </row>
    <row r="346" spans="1:15" s="25" customFormat="1" ht="25.5">
      <c r="A346" s="28">
        <v>32</v>
      </c>
      <c r="B346" s="29" t="s">
        <v>281</v>
      </c>
      <c r="C346" s="30">
        <f t="shared" si="89"/>
        <v>42220</v>
      </c>
      <c r="D346" s="30"/>
      <c r="E346" s="30"/>
      <c r="F346" s="30"/>
      <c r="G346" s="30"/>
      <c r="H346" s="30">
        <v>20000</v>
      </c>
      <c r="I346" s="30">
        <v>22220</v>
      </c>
      <c r="J346" s="30"/>
      <c r="K346" s="30"/>
      <c r="L346" s="30"/>
      <c r="M346" s="30"/>
      <c r="N346" s="30"/>
      <c r="O346" s="30"/>
    </row>
    <row r="347" spans="1:15" s="25" customFormat="1" ht="25.5">
      <c r="A347" s="28">
        <v>33</v>
      </c>
      <c r="B347" s="29" t="s">
        <v>282</v>
      </c>
      <c r="C347" s="30">
        <f t="shared" si="89"/>
        <v>12860</v>
      </c>
      <c r="D347" s="30"/>
      <c r="E347" s="30"/>
      <c r="F347" s="30"/>
      <c r="G347" s="30"/>
      <c r="H347" s="30"/>
      <c r="I347" s="30">
        <v>12860</v>
      </c>
      <c r="J347" s="30"/>
      <c r="K347" s="30"/>
      <c r="L347" s="30"/>
      <c r="M347" s="30"/>
      <c r="N347" s="30"/>
      <c r="O347" s="30"/>
    </row>
    <row r="348" spans="1:16" s="25" customFormat="1" ht="12.75">
      <c r="A348" s="28">
        <v>34</v>
      </c>
      <c r="B348" s="29" t="s">
        <v>157</v>
      </c>
      <c r="C348" s="30">
        <f>SUM(D348:O348)</f>
        <v>8455.39</v>
      </c>
      <c r="D348" s="30">
        <v>683.64</v>
      </c>
      <c r="E348" s="30">
        <v>702.05</v>
      </c>
      <c r="F348" s="30">
        <v>697.44</v>
      </c>
      <c r="G348" s="30">
        <v>713.9</v>
      </c>
      <c r="H348" s="30">
        <v>667.34</v>
      </c>
      <c r="I348" s="30">
        <v>648.8</v>
      </c>
      <c r="J348" s="30">
        <v>755.19</v>
      </c>
      <c r="K348" s="30">
        <v>741.65</v>
      </c>
      <c r="L348" s="30">
        <v>664.84</v>
      </c>
      <c r="M348" s="30">
        <v>727.9</v>
      </c>
      <c r="N348" s="30">
        <v>666.89</v>
      </c>
      <c r="O348" s="30">
        <v>785.75</v>
      </c>
      <c r="P348" s="25">
        <v>861.36</v>
      </c>
    </row>
    <row r="349" spans="1:15" s="25" customFormat="1" ht="12.75">
      <c r="A349" s="28">
        <v>35</v>
      </c>
      <c r="B349" s="29" t="s">
        <v>271</v>
      </c>
      <c r="C349" s="30">
        <f t="shared" si="89"/>
        <v>31696.3</v>
      </c>
      <c r="D349" s="30"/>
      <c r="E349" s="30"/>
      <c r="F349" s="30">
        <v>24480</v>
      </c>
      <c r="G349" s="30">
        <v>4649.8</v>
      </c>
      <c r="H349" s="30"/>
      <c r="I349" s="30"/>
      <c r="J349" s="30"/>
      <c r="K349" s="30"/>
      <c r="L349" s="30"/>
      <c r="M349" s="30">
        <v>2566.5</v>
      </c>
      <c r="N349" s="30"/>
      <c r="O349" s="30"/>
    </row>
    <row r="350" spans="1:15" s="25" customFormat="1" ht="12.75">
      <c r="A350" s="28">
        <v>36</v>
      </c>
      <c r="B350" s="29" t="s">
        <v>154</v>
      </c>
      <c r="C350" s="30">
        <f t="shared" si="89"/>
        <v>11816.5</v>
      </c>
      <c r="D350" s="30">
        <f>SUM(D351:D352)</f>
        <v>0</v>
      </c>
      <c r="E350" s="30">
        <f aca="true" t="shared" si="91" ref="E350:O350">SUM(E351:E352)</f>
        <v>0</v>
      </c>
      <c r="F350" s="30">
        <f t="shared" si="91"/>
        <v>0</v>
      </c>
      <c r="G350" s="30">
        <f t="shared" si="91"/>
        <v>0</v>
      </c>
      <c r="H350" s="30">
        <f t="shared" si="91"/>
        <v>0</v>
      </c>
      <c r="I350" s="30">
        <f t="shared" si="91"/>
        <v>0</v>
      </c>
      <c r="J350" s="30">
        <f t="shared" si="91"/>
        <v>11816.5</v>
      </c>
      <c r="K350" s="30">
        <f t="shared" si="91"/>
        <v>0</v>
      </c>
      <c r="L350" s="30">
        <f t="shared" si="91"/>
        <v>0</v>
      </c>
      <c r="M350" s="30">
        <f t="shared" si="91"/>
        <v>0</v>
      </c>
      <c r="N350" s="30">
        <f t="shared" si="91"/>
        <v>0</v>
      </c>
      <c r="O350" s="30">
        <f t="shared" si="91"/>
        <v>0</v>
      </c>
    </row>
    <row r="351" spans="1:15" ht="12.75">
      <c r="A351" s="35"/>
      <c r="B351" s="51" t="s">
        <v>164</v>
      </c>
      <c r="C351" s="10">
        <f t="shared" si="89"/>
        <v>0</v>
      </c>
      <c r="D351" s="10"/>
      <c r="E351" s="10"/>
      <c r="F351" s="10"/>
      <c r="G351" s="10"/>
      <c r="H351" s="10"/>
      <c r="I351" s="10"/>
      <c r="J351" s="10"/>
      <c r="K351" s="10"/>
      <c r="L351" s="10"/>
      <c r="M351" s="10"/>
      <c r="N351" s="10"/>
      <c r="O351" s="10"/>
    </row>
    <row r="352" spans="1:15" ht="12.75">
      <c r="A352" s="35"/>
      <c r="B352" s="51" t="s">
        <v>287</v>
      </c>
      <c r="C352" s="10">
        <f t="shared" si="89"/>
        <v>11816.5</v>
      </c>
      <c r="D352" s="10"/>
      <c r="E352" s="10"/>
      <c r="F352" s="10"/>
      <c r="G352" s="10"/>
      <c r="H352" s="10"/>
      <c r="I352" s="10"/>
      <c r="J352" s="10">
        <v>11816.5</v>
      </c>
      <c r="K352" s="10"/>
      <c r="L352" s="10"/>
      <c r="M352" s="10"/>
      <c r="N352" s="10"/>
      <c r="O352" s="10"/>
    </row>
    <row r="353" spans="1:15" s="25" customFormat="1" ht="25.5">
      <c r="A353" s="28">
        <v>37</v>
      </c>
      <c r="B353" s="29" t="s">
        <v>165</v>
      </c>
      <c r="C353" s="30">
        <f t="shared" si="89"/>
        <v>168781.59999999998</v>
      </c>
      <c r="D353" s="30">
        <f>17046.37+11364.25</f>
        <v>28410.62</v>
      </c>
      <c r="E353" s="30"/>
      <c r="F353" s="30">
        <v>11364.25</v>
      </c>
      <c r="G353" s="30">
        <f>4000+11364.24</f>
        <v>15364.24</v>
      </c>
      <c r="H353" s="30">
        <v>11364.25</v>
      </c>
      <c r="I353" s="30">
        <v>11364.25</v>
      </c>
      <c r="J353" s="30">
        <v>11364.25</v>
      </c>
      <c r="K353" s="30">
        <v>11364.25</v>
      </c>
      <c r="L353" s="30">
        <v>11364.25</v>
      </c>
      <c r="M353" s="30">
        <v>14205.31</v>
      </c>
      <c r="N353" s="30">
        <v>14205.31</v>
      </c>
      <c r="O353" s="30">
        <f>14205.31+14205.31</f>
        <v>28410.62</v>
      </c>
    </row>
    <row r="354" spans="1:15" s="25" customFormat="1" ht="12.75">
      <c r="A354" s="28">
        <v>38</v>
      </c>
      <c r="B354" s="29" t="s">
        <v>285</v>
      </c>
      <c r="C354" s="30">
        <f t="shared" si="89"/>
        <v>23500</v>
      </c>
      <c r="D354" s="30"/>
      <c r="E354" s="30"/>
      <c r="F354" s="30"/>
      <c r="G354" s="30"/>
      <c r="H354" s="30"/>
      <c r="I354" s="30">
        <v>23500</v>
      </c>
      <c r="J354" s="30"/>
      <c r="K354" s="30"/>
      <c r="L354" s="30"/>
      <c r="M354" s="30"/>
      <c r="N354" s="30"/>
      <c r="O354" s="30"/>
    </row>
    <row r="355" spans="1:15" s="25" customFormat="1" ht="25.5">
      <c r="A355" s="28">
        <v>39</v>
      </c>
      <c r="B355" s="29" t="s">
        <v>43</v>
      </c>
      <c r="C355" s="30">
        <f t="shared" si="89"/>
        <v>56762.38</v>
      </c>
      <c r="D355" s="30">
        <f>SUM(D356:D357)</f>
        <v>0</v>
      </c>
      <c r="E355" s="30">
        <f aca="true" t="shared" si="92" ref="E355:O355">SUM(E356:E357)</f>
        <v>0</v>
      </c>
      <c r="F355" s="30">
        <f t="shared" si="92"/>
        <v>7540.9</v>
      </c>
      <c r="G355" s="30">
        <f t="shared" si="92"/>
        <v>13068.28</v>
      </c>
      <c r="H355" s="30">
        <f t="shared" si="92"/>
        <v>0</v>
      </c>
      <c r="I355" s="30">
        <f t="shared" si="92"/>
        <v>0</v>
      </c>
      <c r="J355" s="30">
        <f t="shared" si="92"/>
        <v>0</v>
      </c>
      <c r="K355" s="30">
        <f t="shared" si="92"/>
        <v>13737</v>
      </c>
      <c r="L355" s="30">
        <f t="shared" si="92"/>
        <v>0</v>
      </c>
      <c r="M355" s="30">
        <f t="shared" si="92"/>
        <v>12969</v>
      </c>
      <c r="N355" s="30">
        <f t="shared" si="92"/>
        <v>6946</v>
      </c>
      <c r="O355" s="30">
        <f t="shared" si="92"/>
        <v>2501.2</v>
      </c>
    </row>
    <row r="356" spans="1:15" ht="12.75">
      <c r="A356" s="35"/>
      <c r="B356" s="51" t="s">
        <v>53</v>
      </c>
      <c r="C356" s="10">
        <f t="shared" si="89"/>
        <v>35484.479999999996</v>
      </c>
      <c r="D356" s="10"/>
      <c r="E356" s="10"/>
      <c r="F356" s="10"/>
      <c r="G356" s="10">
        <f>11202.28+1866</f>
        <v>13068.28</v>
      </c>
      <c r="H356" s="10"/>
      <c r="I356" s="10"/>
      <c r="J356" s="10"/>
      <c r="K356" s="10"/>
      <c r="L356" s="10"/>
      <c r="M356" s="10">
        <v>12969</v>
      </c>
      <c r="N356" s="10">
        <f>3505+3441</f>
        <v>6946</v>
      </c>
      <c r="O356" s="10">
        <v>2501.2</v>
      </c>
    </row>
    <row r="357" spans="1:15" ht="12.75">
      <c r="A357" s="35"/>
      <c r="B357" s="51" t="s">
        <v>155</v>
      </c>
      <c r="C357" s="10">
        <f t="shared" si="89"/>
        <v>21277.9</v>
      </c>
      <c r="D357" s="10"/>
      <c r="E357" s="10"/>
      <c r="F357" s="10">
        <v>7540.9</v>
      </c>
      <c r="G357" s="10"/>
      <c r="H357" s="10"/>
      <c r="I357" s="10"/>
      <c r="J357" s="10"/>
      <c r="K357" s="10">
        <v>13737</v>
      </c>
      <c r="L357" s="10"/>
      <c r="M357" s="10"/>
      <c r="N357" s="10"/>
      <c r="O357" s="10"/>
    </row>
    <row r="358" spans="1:15" s="25" customFormat="1" ht="12.75">
      <c r="A358" s="28">
        <v>40</v>
      </c>
      <c r="B358" s="29" t="s">
        <v>275</v>
      </c>
      <c r="C358" s="30">
        <f t="shared" si="89"/>
        <v>2700</v>
      </c>
      <c r="D358" s="30"/>
      <c r="E358" s="30"/>
      <c r="F358" s="30">
        <v>2700</v>
      </c>
      <c r="G358" s="30"/>
      <c r="H358" s="30"/>
      <c r="I358" s="30"/>
      <c r="J358" s="30"/>
      <c r="K358" s="30"/>
      <c r="L358" s="30"/>
      <c r="M358" s="30"/>
      <c r="N358" s="30"/>
      <c r="O358" s="30"/>
    </row>
    <row r="359" spans="1:15" s="25" customFormat="1" ht="25.5">
      <c r="A359" s="28">
        <v>41</v>
      </c>
      <c r="B359" s="29" t="s">
        <v>152</v>
      </c>
      <c r="C359" s="30">
        <f t="shared" si="89"/>
        <v>27500</v>
      </c>
      <c r="D359" s="30"/>
      <c r="E359" s="30"/>
      <c r="F359" s="30">
        <v>27500</v>
      </c>
      <c r="G359" s="30"/>
      <c r="H359" s="30"/>
      <c r="I359" s="30"/>
      <c r="J359" s="30"/>
      <c r="K359" s="30"/>
      <c r="L359" s="30"/>
      <c r="M359" s="30"/>
      <c r="N359" s="30"/>
      <c r="O359" s="30"/>
    </row>
    <row r="360" spans="1:15" s="25" customFormat="1" ht="25.5">
      <c r="A360" s="28">
        <v>42</v>
      </c>
      <c r="B360" s="29" t="s">
        <v>153</v>
      </c>
      <c r="C360" s="30">
        <f t="shared" si="89"/>
        <v>28800</v>
      </c>
      <c r="D360" s="30"/>
      <c r="E360" s="30"/>
      <c r="F360" s="30">
        <v>28800</v>
      </c>
      <c r="G360" s="30"/>
      <c r="H360" s="30"/>
      <c r="I360" s="30"/>
      <c r="J360" s="30"/>
      <c r="K360" s="30"/>
      <c r="L360" s="30"/>
      <c r="M360" s="30"/>
      <c r="N360" s="30"/>
      <c r="O360" s="30"/>
    </row>
    <row r="361" spans="1:15" s="25" customFormat="1" ht="25.5">
      <c r="A361" s="28">
        <v>43</v>
      </c>
      <c r="B361" s="29" t="s">
        <v>291</v>
      </c>
      <c r="C361" s="30">
        <f t="shared" si="89"/>
        <v>3500</v>
      </c>
      <c r="D361" s="49"/>
      <c r="E361" s="49"/>
      <c r="F361" s="49"/>
      <c r="G361" s="30"/>
      <c r="H361" s="30"/>
      <c r="I361" s="49"/>
      <c r="J361" s="49">
        <v>3500</v>
      </c>
      <c r="K361" s="49"/>
      <c r="L361" s="49"/>
      <c r="M361" s="49"/>
      <c r="N361" s="49"/>
      <c r="O361" s="49"/>
    </row>
    <row r="362" spans="1:15" s="25" customFormat="1" ht="12.75">
      <c r="A362" s="28">
        <v>44</v>
      </c>
      <c r="B362" s="29" t="s">
        <v>193</v>
      </c>
      <c r="C362" s="30">
        <f t="shared" si="89"/>
        <v>82040</v>
      </c>
      <c r="D362" s="49">
        <f>D363+D364+D365</f>
        <v>0</v>
      </c>
      <c r="E362" s="49">
        <f aca="true" t="shared" si="93" ref="E362:O362">E363+E364+E365</f>
        <v>0</v>
      </c>
      <c r="F362" s="49">
        <f t="shared" si="93"/>
        <v>0</v>
      </c>
      <c r="G362" s="49">
        <f t="shared" si="93"/>
        <v>0</v>
      </c>
      <c r="H362" s="49">
        <f t="shared" si="93"/>
        <v>0</v>
      </c>
      <c r="I362" s="49">
        <f t="shared" si="93"/>
        <v>15000</v>
      </c>
      <c r="J362" s="49">
        <f t="shared" si="93"/>
        <v>46400</v>
      </c>
      <c r="K362" s="49">
        <f t="shared" si="93"/>
        <v>0</v>
      </c>
      <c r="L362" s="49">
        <f t="shared" si="93"/>
        <v>0</v>
      </c>
      <c r="M362" s="49">
        <f t="shared" si="93"/>
        <v>6000</v>
      </c>
      <c r="N362" s="49">
        <f t="shared" si="93"/>
        <v>0</v>
      </c>
      <c r="O362" s="49">
        <f t="shared" si="93"/>
        <v>14640</v>
      </c>
    </row>
    <row r="363" spans="1:15" ht="12.75">
      <c r="A363" s="35"/>
      <c r="B363" s="51" t="s">
        <v>53</v>
      </c>
      <c r="C363" s="10">
        <f t="shared" si="89"/>
        <v>40040</v>
      </c>
      <c r="D363" s="48"/>
      <c r="E363" s="10"/>
      <c r="F363" s="10"/>
      <c r="G363" s="10"/>
      <c r="H363" s="10"/>
      <c r="I363" s="10"/>
      <c r="J363" s="10">
        <v>31400</v>
      </c>
      <c r="K363" s="10"/>
      <c r="L363" s="10"/>
      <c r="M363" s="10"/>
      <c r="N363" s="10"/>
      <c r="O363" s="10">
        <f>3860+4780</f>
        <v>8640</v>
      </c>
    </row>
    <row r="364" spans="1:16" ht="12.75">
      <c r="A364" s="35"/>
      <c r="B364" s="51" t="s">
        <v>194</v>
      </c>
      <c r="C364" s="10">
        <f t="shared" si="89"/>
        <v>36000</v>
      </c>
      <c r="D364" s="48"/>
      <c r="E364" s="48"/>
      <c r="F364" s="48"/>
      <c r="G364" s="10"/>
      <c r="H364" s="10"/>
      <c r="I364" s="10">
        <v>15000</v>
      </c>
      <c r="J364" s="10">
        <v>15000</v>
      </c>
      <c r="K364" s="10"/>
      <c r="L364" s="10"/>
      <c r="M364" s="10">
        <v>6000</v>
      </c>
      <c r="N364" s="10"/>
      <c r="O364" s="10"/>
      <c r="P364" s="9"/>
    </row>
    <row r="365" spans="1:16" ht="25.5">
      <c r="A365" s="35"/>
      <c r="B365" s="51" t="s">
        <v>421</v>
      </c>
      <c r="C365" s="10">
        <f t="shared" si="89"/>
        <v>6000</v>
      </c>
      <c r="D365" s="48"/>
      <c r="E365" s="48"/>
      <c r="F365" s="48"/>
      <c r="G365" s="10"/>
      <c r="H365" s="10"/>
      <c r="I365" s="10"/>
      <c r="J365" s="10"/>
      <c r="K365" s="10"/>
      <c r="L365" s="10"/>
      <c r="M365" s="10"/>
      <c r="N365" s="10"/>
      <c r="O365" s="10">
        <v>6000</v>
      </c>
      <c r="P365" s="9"/>
    </row>
    <row r="366" spans="1:15" s="25" customFormat="1" ht="12.75">
      <c r="A366" s="28">
        <v>45</v>
      </c>
      <c r="B366" s="29" t="s">
        <v>274</v>
      </c>
      <c r="C366" s="30">
        <f t="shared" si="89"/>
        <v>6152.2</v>
      </c>
      <c r="D366" s="49"/>
      <c r="E366" s="49"/>
      <c r="F366" s="49">
        <v>6152.2</v>
      </c>
      <c r="G366" s="49"/>
      <c r="H366" s="49"/>
      <c r="I366" s="49"/>
      <c r="J366" s="30"/>
      <c r="K366" s="49"/>
      <c r="L366" s="49"/>
      <c r="M366" s="49"/>
      <c r="N366" s="49"/>
      <c r="O366" s="49"/>
    </row>
    <row r="367" spans="1:15" s="25" customFormat="1" ht="15">
      <c r="A367" s="28">
        <v>46</v>
      </c>
      <c r="B367" s="29" t="s">
        <v>159</v>
      </c>
      <c r="C367" s="30">
        <f t="shared" si="89"/>
        <v>6770.219999999999</v>
      </c>
      <c r="D367" s="49"/>
      <c r="E367" s="49">
        <v>2575.96</v>
      </c>
      <c r="F367" s="49"/>
      <c r="G367" s="30"/>
      <c r="H367" s="30"/>
      <c r="I367" s="30">
        <v>1612.11</v>
      </c>
      <c r="J367" s="30"/>
      <c r="K367" s="30"/>
      <c r="L367" s="76"/>
      <c r="M367" s="30"/>
      <c r="N367" s="30">
        <v>2582.15</v>
      </c>
      <c r="O367" s="49"/>
    </row>
    <row r="368" spans="1:15" s="25" customFormat="1" ht="12.75">
      <c r="A368" s="28">
        <v>47</v>
      </c>
      <c r="B368" s="29" t="s">
        <v>273</v>
      </c>
      <c r="C368" s="30">
        <f t="shared" si="89"/>
        <v>2950</v>
      </c>
      <c r="D368" s="49"/>
      <c r="E368" s="49"/>
      <c r="F368" s="49">
        <v>2950</v>
      </c>
      <c r="G368" s="30"/>
      <c r="H368" s="30"/>
      <c r="I368" s="30"/>
      <c r="J368" s="30"/>
      <c r="K368" s="30"/>
      <c r="L368" s="30"/>
      <c r="M368" s="30"/>
      <c r="N368" s="30"/>
      <c r="O368" s="49"/>
    </row>
    <row r="369" spans="1:15" s="25" customFormat="1" ht="12.75">
      <c r="A369" s="28">
        <v>48</v>
      </c>
      <c r="B369" s="29" t="s">
        <v>289</v>
      </c>
      <c r="C369" s="30">
        <f t="shared" si="89"/>
        <v>15000</v>
      </c>
      <c r="D369" s="49">
        <f>D370</f>
        <v>0</v>
      </c>
      <c r="E369" s="49">
        <f aca="true" t="shared" si="94" ref="E369:O369">E370</f>
        <v>0</v>
      </c>
      <c r="F369" s="49">
        <f t="shared" si="94"/>
        <v>0</v>
      </c>
      <c r="G369" s="49">
        <f t="shared" si="94"/>
        <v>0</v>
      </c>
      <c r="H369" s="49">
        <f t="shared" si="94"/>
        <v>0</v>
      </c>
      <c r="I369" s="49">
        <f t="shared" si="94"/>
        <v>0</v>
      </c>
      <c r="J369" s="49">
        <f t="shared" si="94"/>
        <v>15000</v>
      </c>
      <c r="K369" s="49">
        <f t="shared" si="94"/>
        <v>0</v>
      </c>
      <c r="L369" s="49">
        <f t="shared" si="94"/>
        <v>0</v>
      </c>
      <c r="M369" s="49">
        <f t="shared" si="94"/>
        <v>0</v>
      </c>
      <c r="N369" s="49">
        <f t="shared" si="94"/>
        <v>0</v>
      </c>
      <c r="O369" s="49">
        <f t="shared" si="94"/>
        <v>0</v>
      </c>
    </row>
    <row r="370" spans="1:15" ht="12.75">
      <c r="A370" s="35"/>
      <c r="B370" s="51" t="s">
        <v>290</v>
      </c>
      <c r="C370" s="10">
        <f t="shared" si="89"/>
        <v>15000</v>
      </c>
      <c r="D370" s="48"/>
      <c r="E370" s="48"/>
      <c r="F370" s="48"/>
      <c r="G370" s="10"/>
      <c r="H370" s="10"/>
      <c r="I370" s="10"/>
      <c r="J370" s="10">
        <v>15000</v>
      </c>
      <c r="K370" s="10"/>
      <c r="L370" s="10"/>
      <c r="M370" s="10"/>
      <c r="N370" s="10"/>
      <c r="O370" s="48"/>
    </row>
    <row r="371" spans="1:15" s="25" customFormat="1" ht="25.5">
      <c r="A371" s="28">
        <v>49</v>
      </c>
      <c r="B371" s="29" t="s">
        <v>44</v>
      </c>
      <c r="C371" s="30">
        <f aca="true" t="shared" si="95" ref="C371:C383">SUM(D371:O371)</f>
        <v>5100</v>
      </c>
      <c r="D371" s="49"/>
      <c r="E371" s="49"/>
      <c r="F371" s="49">
        <v>3000</v>
      </c>
      <c r="G371" s="30">
        <v>2100</v>
      </c>
      <c r="H371" s="30"/>
      <c r="I371" s="30"/>
      <c r="J371" s="30"/>
      <c r="K371" s="30"/>
      <c r="L371" s="30"/>
      <c r="M371" s="30"/>
      <c r="N371" s="30"/>
      <c r="O371" s="49"/>
    </row>
    <row r="372" spans="1:15" s="25" customFormat="1" ht="12.75">
      <c r="A372" s="28">
        <v>50</v>
      </c>
      <c r="B372" s="29" t="s">
        <v>297</v>
      </c>
      <c r="C372" s="30">
        <f t="shared" si="95"/>
        <v>30000</v>
      </c>
      <c r="D372" s="49">
        <f aca="true" t="shared" si="96" ref="D372:O372">SUM(D373:D373)</f>
        <v>0</v>
      </c>
      <c r="E372" s="49">
        <f t="shared" si="96"/>
        <v>0</v>
      </c>
      <c r="F372" s="49">
        <f t="shared" si="96"/>
        <v>0</v>
      </c>
      <c r="G372" s="30">
        <f t="shared" si="96"/>
        <v>0</v>
      </c>
      <c r="H372" s="30">
        <f t="shared" si="96"/>
        <v>0</v>
      </c>
      <c r="I372" s="30">
        <f t="shared" si="96"/>
        <v>0</v>
      </c>
      <c r="J372" s="30">
        <f t="shared" si="96"/>
        <v>0</v>
      </c>
      <c r="K372" s="30">
        <f t="shared" si="96"/>
        <v>15000</v>
      </c>
      <c r="L372" s="30">
        <f t="shared" si="96"/>
        <v>0</v>
      </c>
      <c r="M372" s="30">
        <f t="shared" si="96"/>
        <v>0</v>
      </c>
      <c r="N372" s="30">
        <f t="shared" si="96"/>
        <v>15000</v>
      </c>
      <c r="O372" s="49">
        <f t="shared" si="96"/>
        <v>0</v>
      </c>
    </row>
    <row r="373" spans="1:15" ht="12.75">
      <c r="A373" s="35"/>
      <c r="B373" s="51" t="s">
        <v>298</v>
      </c>
      <c r="C373" s="10">
        <f t="shared" si="95"/>
        <v>30000</v>
      </c>
      <c r="D373" s="48"/>
      <c r="E373" s="48"/>
      <c r="F373" s="48"/>
      <c r="G373" s="10"/>
      <c r="H373" s="10"/>
      <c r="I373" s="10"/>
      <c r="J373" s="10"/>
      <c r="K373" s="10">
        <v>15000</v>
      </c>
      <c r="L373" s="10"/>
      <c r="M373" s="10"/>
      <c r="N373" s="10">
        <v>15000</v>
      </c>
      <c r="O373" s="48"/>
    </row>
    <row r="374" spans="1:15" s="25" customFormat="1" ht="25.5">
      <c r="A374" s="28">
        <v>51</v>
      </c>
      <c r="B374" s="29" t="s">
        <v>150</v>
      </c>
      <c r="C374" s="30">
        <f t="shared" si="95"/>
        <v>46700</v>
      </c>
      <c r="D374" s="49">
        <f>16000+5600</f>
        <v>21600</v>
      </c>
      <c r="E374" s="49"/>
      <c r="F374" s="49">
        <v>18800</v>
      </c>
      <c r="G374" s="49"/>
      <c r="H374" s="30"/>
      <c r="I374" s="30"/>
      <c r="J374" s="30"/>
      <c r="K374" s="30"/>
      <c r="L374" s="30"/>
      <c r="M374" s="30"/>
      <c r="N374" s="30"/>
      <c r="O374" s="49">
        <v>6300</v>
      </c>
    </row>
    <row r="375" spans="1:16" s="25" customFormat="1" ht="12.75">
      <c r="A375" s="28">
        <v>52</v>
      </c>
      <c r="B375" s="29" t="s">
        <v>239</v>
      </c>
      <c r="C375" s="30">
        <f t="shared" si="95"/>
        <v>67500</v>
      </c>
      <c r="D375" s="49">
        <f aca="true" t="shared" si="97" ref="D375:P375">SUM(D376:D376)</f>
        <v>0</v>
      </c>
      <c r="E375" s="49">
        <f t="shared" si="97"/>
        <v>7500</v>
      </c>
      <c r="F375" s="49">
        <f t="shared" si="97"/>
        <v>7500</v>
      </c>
      <c r="G375" s="49">
        <f t="shared" si="97"/>
        <v>7500</v>
      </c>
      <c r="H375" s="30">
        <f t="shared" si="97"/>
        <v>7500</v>
      </c>
      <c r="I375" s="49">
        <f t="shared" si="97"/>
        <v>4500</v>
      </c>
      <c r="J375" s="30">
        <f t="shared" si="97"/>
        <v>0</v>
      </c>
      <c r="K375" s="30">
        <f t="shared" si="97"/>
        <v>9000</v>
      </c>
      <c r="L375" s="30">
        <f t="shared" si="97"/>
        <v>0</v>
      </c>
      <c r="M375" s="30">
        <f t="shared" si="97"/>
        <v>9000</v>
      </c>
      <c r="N375" s="30">
        <f t="shared" si="97"/>
        <v>7500</v>
      </c>
      <c r="O375" s="30">
        <f t="shared" si="97"/>
        <v>7500</v>
      </c>
      <c r="P375" s="26">
        <f t="shared" si="97"/>
        <v>7500</v>
      </c>
    </row>
    <row r="376" spans="1:16" ht="25.5">
      <c r="A376" s="35"/>
      <c r="B376" s="51" t="s">
        <v>240</v>
      </c>
      <c r="C376" s="10">
        <f t="shared" si="95"/>
        <v>67500</v>
      </c>
      <c r="D376" s="48"/>
      <c r="E376" s="48">
        <f>7500</f>
        <v>7500</v>
      </c>
      <c r="F376" s="48">
        <v>7500</v>
      </c>
      <c r="G376" s="48">
        <v>7500</v>
      </c>
      <c r="H376" s="10">
        <v>7500</v>
      </c>
      <c r="I376" s="10">
        <v>4500</v>
      </c>
      <c r="J376" s="10"/>
      <c r="K376" s="10">
        <v>9000</v>
      </c>
      <c r="L376" s="10"/>
      <c r="M376" s="10">
        <v>9000</v>
      </c>
      <c r="N376" s="10">
        <v>7500</v>
      </c>
      <c r="O376" s="48">
        <v>7500</v>
      </c>
      <c r="P376" s="31">
        <v>7500</v>
      </c>
    </row>
    <row r="377" spans="1:15" s="25" customFormat="1" ht="25.5">
      <c r="A377" s="28">
        <v>53</v>
      </c>
      <c r="B377" s="29" t="s">
        <v>151</v>
      </c>
      <c r="C377" s="30">
        <f t="shared" si="95"/>
        <v>47304</v>
      </c>
      <c r="D377" s="49"/>
      <c r="E377" s="49"/>
      <c r="F377" s="49">
        <f>15768+5256</f>
        <v>21024</v>
      </c>
      <c r="G377" s="49">
        <f>2628+2628</f>
        <v>5256</v>
      </c>
      <c r="H377" s="49"/>
      <c r="I377" s="49">
        <v>2628</v>
      </c>
      <c r="J377" s="49">
        <v>2628</v>
      </c>
      <c r="K377" s="49">
        <f>2628+2628</f>
        <v>5256</v>
      </c>
      <c r="L377" s="49"/>
      <c r="M377" s="49">
        <v>2628</v>
      </c>
      <c r="N377" s="49">
        <v>2628</v>
      </c>
      <c r="O377" s="49">
        <f>2628+2628</f>
        <v>5256</v>
      </c>
    </row>
    <row r="378" spans="1:15" s="25" customFormat="1" ht="12.75">
      <c r="A378" s="28">
        <v>54</v>
      </c>
      <c r="B378" s="29" t="s">
        <v>272</v>
      </c>
      <c r="C378" s="30">
        <f t="shared" si="95"/>
        <v>11521.46</v>
      </c>
      <c r="D378" s="49"/>
      <c r="E378" s="49">
        <v>11521.46</v>
      </c>
      <c r="F378" s="49"/>
      <c r="G378" s="49"/>
      <c r="H378" s="49"/>
      <c r="I378" s="49"/>
      <c r="J378" s="49"/>
      <c r="K378" s="49"/>
      <c r="L378" s="49"/>
      <c r="M378" s="49"/>
      <c r="N378" s="49"/>
      <c r="O378" s="49"/>
    </row>
    <row r="379" spans="1:15" s="25" customFormat="1" ht="12.75">
      <c r="A379" s="28">
        <v>55</v>
      </c>
      <c r="B379" s="29" t="s">
        <v>269</v>
      </c>
      <c r="C379" s="30">
        <f>SUM(D379:O379)</f>
        <v>36614.3</v>
      </c>
      <c r="D379" s="49"/>
      <c r="E379" s="49">
        <f>5180+8505+3326</f>
        <v>17011</v>
      </c>
      <c r="F379" s="49">
        <f>2618</f>
        <v>2618</v>
      </c>
      <c r="G379" s="49">
        <f>4500</f>
        <v>4500</v>
      </c>
      <c r="H379" s="49"/>
      <c r="I379" s="49"/>
      <c r="J379" s="49">
        <v>5778</v>
      </c>
      <c r="K379" s="49"/>
      <c r="L379" s="49"/>
      <c r="M379" s="49">
        <v>6707.3</v>
      </c>
      <c r="N379" s="49"/>
      <c r="O379" s="49"/>
    </row>
    <row r="380" spans="1:15" s="25" customFormat="1" ht="12.75">
      <c r="A380" s="28">
        <v>56</v>
      </c>
      <c r="B380" s="29" t="s">
        <v>212</v>
      </c>
      <c r="C380" s="30">
        <f>SUM(D380:O380)</f>
        <v>49400</v>
      </c>
      <c r="D380" s="49">
        <v>0</v>
      </c>
      <c r="E380" s="49">
        <v>0</v>
      </c>
      <c r="F380" s="49">
        <v>49400</v>
      </c>
      <c r="G380" s="49">
        <v>0</v>
      </c>
      <c r="H380" s="49">
        <v>0</v>
      </c>
      <c r="I380" s="49">
        <v>0</v>
      </c>
      <c r="J380" s="49">
        <v>0</v>
      </c>
      <c r="K380" s="49">
        <v>0</v>
      </c>
      <c r="L380" s="49">
        <v>0</v>
      </c>
      <c r="M380" s="49">
        <v>0</v>
      </c>
      <c r="N380" s="49">
        <v>0</v>
      </c>
      <c r="O380" s="49"/>
    </row>
    <row r="381" spans="1:15" s="25" customFormat="1" ht="12.75">
      <c r="A381" s="28">
        <v>57</v>
      </c>
      <c r="B381" s="67" t="s">
        <v>286</v>
      </c>
      <c r="C381" s="30">
        <f t="shared" si="95"/>
        <v>11100</v>
      </c>
      <c r="D381" s="49"/>
      <c r="E381" s="49"/>
      <c r="F381" s="49"/>
      <c r="G381" s="49"/>
      <c r="H381" s="49"/>
      <c r="I381" s="49">
        <f>3700+2900</f>
        <v>6600</v>
      </c>
      <c r="J381" s="49">
        <v>4500</v>
      </c>
      <c r="K381" s="49"/>
      <c r="L381" s="49"/>
      <c r="M381" s="49"/>
      <c r="N381" s="49"/>
      <c r="O381" s="49"/>
    </row>
    <row r="382" spans="1:15" s="25" customFormat="1" ht="12.75">
      <c r="A382" s="28">
        <v>58</v>
      </c>
      <c r="B382" s="67" t="s">
        <v>301</v>
      </c>
      <c r="C382" s="30">
        <f t="shared" si="95"/>
        <v>500</v>
      </c>
      <c r="D382" s="49"/>
      <c r="E382" s="49"/>
      <c r="F382" s="49"/>
      <c r="G382" s="49"/>
      <c r="H382" s="49"/>
      <c r="I382" s="49">
        <v>500</v>
      </c>
      <c r="J382" s="49"/>
      <c r="K382" s="49"/>
      <c r="L382" s="49"/>
      <c r="M382" s="49"/>
      <c r="N382" s="49"/>
      <c r="O382" s="49"/>
    </row>
    <row r="383" spans="1:15" s="25" customFormat="1" ht="12.75">
      <c r="A383" s="28">
        <v>59</v>
      </c>
      <c r="B383" s="29" t="s">
        <v>51</v>
      </c>
      <c r="C383" s="30">
        <f t="shared" si="95"/>
        <v>108874.54999999999</v>
      </c>
      <c r="D383" s="49">
        <f aca="true" t="shared" si="98" ref="D383:N383">SUM(D384:D404)</f>
        <v>0</v>
      </c>
      <c r="E383" s="49">
        <f t="shared" si="98"/>
        <v>9690.6</v>
      </c>
      <c r="F383" s="49">
        <f t="shared" si="98"/>
        <v>7666.4</v>
      </c>
      <c r="G383" s="49">
        <f t="shared" si="98"/>
        <v>21846.6</v>
      </c>
      <c r="H383" s="49">
        <f t="shared" si="98"/>
        <v>85.59</v>
      </c>
      <c r="I383" s="49">
        <f t="shared" si="98"/>
        <v>14506.099999999999</v>
      </c>
      <c r="J383" s="49">
        <f>SUM(J384:J404)</f>
        <v>3400.39</v>
      </c>
      <c r="K383" s="49">
        <f t="shared" si="98"/>
        <v>-3523.37</v>
      </c>
      <c r="L383" s="49">
        <f>SUM(L384:L404)</f>
        <v>9164.89</v>
      </c>
      <c r="M383" s="49">
        <f t="shared" si="98"/>
        <v>9237.68</v>
      </c>
      <c r="N383" s="49">
        <f t="shared" si="98"/>
        <v>35759.28</v>
      </c>
      <c r="O383" s="49">
        <f>SUM(O384:O404)</f>
        <v>1040.3899999999994</v>
      </c>
    </row>
    <row r="384" spans="1:15" ht="12.75">
      <c r="A384" s="35"/>
      <c r="B384" s="51" t="s">
        <v>170</v>
      </c>
      <c r="C384" s="10">
        <f aca="true" t="shared" si="99" ref="C384:C404">SUM(D384:O384)</f>
        <v>175.65</v>
      </c>
      <c r="D384" s="48"/>
      <c r="E384" s="48">
        <v>82.03</v>
      </c>
      <c r="F384" s="48"/>
      <c r="G384" s="48"/>
      <c r="H384" s="48"/>
      <c r="I384" s="48"/>
      <c r="J384" s="48"/>
      <c r="K384" s="48"/>
      <c r="L384" s="48"/>
      <c r="M384" s="48"/>
      <c r="N384" s="10">
        <v>93.62</v>
      </c>
      <c r="O384" s="10"/>
    </row>
    <row r="385" spans="1:15" ht="38.25">
      <c r="A385" s="35"/>
      <c r="B385" s="51" t="s">
        <v>199</v>
      </c>
      <c r="C385" s="10">
        <f t="shared" si="99"/>
        <v>1541.1599999999999</v>
      </c>
      <c r="D385" s="48"/>
      <c r="E385" s="48">
        <v>145.6</v>
      </c>
      <c r="F385" s="48">
        <v>505.06</v>
      </c>
      <c r="G385" s="48"/>
      <c r="H385" s="48"/>
      <c r="I385" s="48">
        <v>67.5</v>
      </c>
      <c r="J385" s="48"/>
      <c r="K385" s="48"/>
      <c r="L385" s="48">
        <v>57</v>
      </c>
      <c r="M385" s="48"/>
      <c r="N385" s="10">
        <f>40+86+640</f>
        <v>766</v>
      </c>
      <c r="O385" s="10"/>
    </row>
    <row r="386" spans="1:15" ht="25.5">
      <c r="A386" s="35"/>
      <c r="B386" s="51" t="s">
        <v>168</v>
      </c>
      <c r="C386" s="10">
        <f t="shared" si="99"/>
        <v>13000.26</v>
      </c>
      <c r="D386" s="48"/>
      <c r="E386" s="48"/>
      <c r="F386" s="48">
        <v>796</v>
      </c>
      <c r="G386" s="48">
        <v>750</v>
      </c>
      <c r="H386" s="48"/>
      <c r="I386" s="48">
        <f>611.1+1085.5</f>
        <v>1696.6</v>
      </c>
      <c r="J386" s="48">
        <v>2570.66</v>
      </c>
      <c r="K386" s="48"/>
      <c r="L386" s="48"/>
      <c r="M386" s="48">
        <v>638</v>
      </c>
      <c r="N386" s="10">
        <f>4980</f>
        <v>4980</v>
      </c>
      <c r="O386" s="10">
        <f>599+970</f>
        <v>1569</v>
      </c>
    </row>
    <row r="387" spans="1:15" ht="30">
      <c r="A387" s="35"/>
      <c r="B387" s="75" t="s">
        <v>171</v>
      </c>
      <c r="C387" s="10">
        <f t="shared" si="99"/>
        <v>0</v>
      </c>
      <c r="D387" s="48"/>
      <c r="E387" s="48"/>
      <c r="F387" s="48"/>
      <c r="G387" s="48"/>
      <c r="H387" s="48"/>
      <c r="I387" s="48"/>
      <c r="J387" s="48"/>
      <c r="K387" s="48"/>
      <c r="L387" s="48"/>
      <c r="M387" s="48"/>
      <c r="N387" s="10"/>
      <c r="O387" s="10"/>
    </row>
    <row r="388" spans="1:15" ht="38.25">
      <c r="A388" s="35"/>
      <c r="B388" s="51" t="s">
        <v>200</v>
      </c>
      <c r="C388" s="10">
        <f t="shared" si="99"/>
        <v>28733.52</v>
      </c>
      <c r="D388" s="48"/>
      <c r="E388" s="48">
        <v>2059</v>
      </c>
      <c r="F388" s="48">
        <v>74</v>
      </c>
      <c r="G388" s="48">
        <v>1811</v>
      </c>
      <c r="H388" s="48"/>
      <c r="I388" s="48">
        <v>1640</v>
      </c>
      <c r="J388" s="48">
        <v>190.25</v>
      </c>
      <c r="K388" s="48">
        <v>435</v>
      </c>
      <c r="L388" s="48">
        <v>59.8</v>
      </c>
      <c r="M388" s="48">
        <v>1597</v>
      </c>
      <c r="N388" s="10">
        <f>719.97+260+51+3+100+4900+32.5+480+3+200+225+203+150+240+6500</f>
        <v>14067.470000000001</v>
      </c>
      <c r="O388" s="10">
        <f>6800</f>
        <v>6800</v>
      </c>
    </row>
    <row r="389" spans="1:15" ht="38.25">
      <c r="A389" s="35"/>
      <c r="B389" s="51" t="s">
        <v>201</v>
      </c>
      <c r="C389" s="10">
        <f t="shared" si="99"/>
        <v>35353.18</v>
      </c>
      <c r="D389" s="48"/>
      <c r="E389" s="48">
        <v>150</v>
      </c>
      <c r="F389" s="48">
        <v>1159</v>
      </c>
      <c r="G389" s="48">
        <v>8503.3</v>
      </c>
      <c r="H389" s="48"/>
      <c r="I389" s="48">
        <v>2802.95</v>
      </c>
      <c r="J389" s="48">
        <v>3625.7</v>
      </c>
      <c r="K389" s="48">
        <v>1812.59</v>
      </c>
      <c r="L389" s="48">
        <v>6080</v>
      </c>
      <c r="M389" s="48">
        <v>2691.64</v>
      </c>
      <c r="N389" s="10">
        <f>220+12+45+15+950+950+450+450+230+20+16+1670</f>
        <v>5028</v>
      </c>
      <c r="O389" s="10">
        <v>3500</v>
      </c>
    </row>
    <row r="390" spans="1:15" ht="38.25">
      <c r="A390" s="35"/>
      <c r="B390" s="51" t="s">
        <v>202</v>
      </c>
      <c r="C390" s="10">
        <f t="shared" si="99"/>
        <v>745</v>
      </c>
      <c r="D390" s="48"/>
      <c r="E390" s="48"/>
      <c r="F390" s="48">
        <v>745</v>
      </c>
      <c r="G390" s="48"/>
      <c r="H390" s="48"/>
      <c r="I390" s="48"/>
      <c r="J390" s="48"/>
      <c r="K390" s="48"/>
      <c r="L390" s="48"/>
      <c r="M390" s="48"/>
      <c r="N390" s="10"/>
      <c r="O390" s="10"/>
    </row>
    <row r="391" spans="1:15" ht="38.25">
      <c r="A391" s="35"/>
      <c r="B391" s="51" t="s">
        <v>203</v>
      </c>
      <c r="C391" s="10">
        <f t="shared" si="99"/>
        <v>2370</v>
      </c>
      <c r="D391" s="48"/>
      <c r="E391" s="48"/>
      <c r="F391" s="48"/>
      <c r="G391" s="48"/>
      <c r="H391" s="48"/>
      <c r="I391" s="48"/>
      <c r="J391" s="48"/>
      <c r="K391" s="48"/>
      <c r="L391" s="48"/>
      <c r="M391" s="48"/>
      <c r="N391" s="10">
        <f>230+1150+60+700+230</f>
        <v>2370</v>
      </c>
      <c r="O391" s="10"/>
    </row>
    <row r="392" spans="1:15" ht="51">
      <c r="A392" s="35"/>
      <c r="B392" s="51" t="s">
        <v>204</v>
      </c>
      <c r="C392" s="10">
        <f t="shared" si="99"/>
        <v>4250</v>
      </c>
      <c r="D392" s="48"/>
      <c r="E392" s="48"/>
      <c r="F392" s="48">
        <v>2200</v>
      </c>
      <c r="G392" s="48"/>
      <c r="H392" s="48"/>
      <c r="I392" s="48"/>
      <c r="J392" s="48"/>
      <c r="K392" s="48">
        <v>250</v>
      </c>
      <c r="L392" s="48"/>
      <c r="M392" s="48"/>
      <c r="N392" s="10">
        <v>1000</v>
      </c>
      <c r="O392" s="10">
        <v>800</v>
      </c>
    </row>
    <row r="393" spans="1:15" ht="38.25">
      <c r="A393" s="35"/>
      <c r="B393" s="51" t="s">
        <v>205</v>
      </c>
      <c r="C393" s="10">
        <f t="shared" si="99"/>
        <v>49253</v>
      </c>
      <c r="D393" s="48"/>
      <c r="E393" s="48">
        <v>7253.97</v>
      </c>
      <c r="F393" s="48">
        <v>2240.34</v>
      </c>
      <c r="G393" s="48">
        <v>10782.3</v>
      </c>
      <c r="H393" s="48">
        <v>85.59</v>
      </c>
      <c r="I393" s="48">
        <f>8229.05+70</f>
        <v>8299.05</v>
      </c>
      <c r="J393" s="48">
        <v>253.26</v>
      </c>
      <c r="K393" s="48">
        <v>1846.84</v>
      </c>
      <c r="L393" s="48">
        <v>3970.45</v>
      </c>
      <c r="M393" s="48">
        <v>4429</v>
      </c>
      <c r="N393" s="10">
        <f>624+36.6+35+122+244+520.6+900+7610</f>
        <v>10092.2</v>
      </c>
      <c r="O393" s="10"/>
    </row>
    <row r="394" spans="1:15" ht="12.75">
      <c r="A394" s="35"/>
      <c r="B394" s="51" t="s">
        <v>166</v>
      </c>
      <c r="C394" s="10">
        <f t="shared" si="99"/>
        <v>0</v>
      </c>
      <c r="D394" s="48"/>
      <c r="E394" s="48"/>
      <c r="F394" s="48"/>
      <c r="G394" s="48"/>
      <c r="H394" s="48"/>
      <c r="I394" s="48"/>
      <c r="J394" s="48"/>
      <c r="K394" s="48"/>
      <c r="L394" s="48"/>
      <c r="M394" s="48"/>
      <c r="N394" s="48"/>
      <c r="O394" s="48"/>
    </row>
    <row r="395" spans="1:15" ht="25.5">
      <c r="A395" s="35"/>
      <c r="B395" s="51" t="s">
        <v>174</v>
      </c>
      <c r="C395" s="10">
        <f t="shared" si="99"/>
        <v>0</v>
      </c>
      <c r="D395" s="48"/>
      <c r="E395" s="48"/>
      <c r="F395" s="48"/>
      <c r="G395" s="48"/>
      <c r="H395" s="48"/>
      <c r="I395" s="48"/>
      <c r="J395" s="48"/>
      <c r="K395" s="48"/>
      <c r="L395" s="48"/>
      <c r="M395" s="48"/>
      <c r="N395" s="48"/>
      <c r="O395" s="48"/>
    </row>
    <row r="396" spans="1:15" ht="12.75">
      <c r="A396" s="35"/>
      <c r="B396" s="51" t="s">
        <v>230</v>
      </c>
      <c r="C396" s="10">
        <f t="shared" si="99"/>
        <v>0</v>
      </c>
      <c r="D396" s="48"/>
      <c r="E396" s="48"/>
      <c r="F396" s="48"/>
      <c r="G396" s="48"/>
      <c r="H396" s="48"/>
      <c r="I396" s="48"/>
      <c r="J396" s="48"/>
      <c r="K396" s="48"/>
      <c r="L396" s="48"/>
      <c r="M396" s="48"/>
      <c r="N396" s="48"/>
      <c r="O396" s="48"/>
    </row>
    <row r="397" spans="1:15" ht="38.25">
      <c r="A397" s="35"/>
      <c r="B397" s="51" t="s">
        <v>206</v>
      </c>
      <c r="C397" s="10">
        <f t="shared" si="99"/>
        <v>0</v>
      </c>
      <c r="D397" s="48"/>
      <c r="E397" s="48"/>
      <c r="F397" s="48"/>
      <c r="G397" s="48"/>
      <c r="H397" s="48"/>
      <c r="I397" s="48"/>
      <c r="J397" s="48"/>
      <c r="K397" s="48"/>
      <c r="L397" s="48"/>
      <c r="M397" s="48"/>
      <c r="N397" s="48"/>
      <c r="O397" s="48"/>
    </row>
    <row r="398" spans="1:15" ht="12.75">
      <c r="A398" s="35"/>
      <c r="B398" s="51" t="s">
        <v>176</v>
      </c>
      <c r="C398" s="10">
        <f t="shared" si="99"/>
        <v>0</v>
      </c>
      <c r="D398" s="48"/>
      <c r="E398" s="48"/>
      <c r="F398" s="48"/>
      <c r="G398" s="48"/>
      <c r="H398" s="48"/>
      <c r="I398" s="48"/>
      <c r="J398" s="48"/>
      <c r="K398" s="48"/>
      <c r="L398" s="48"/>
      <c r="M398" s="48"/>
      <c r="N398" s="48"/>
      <c r="O398" s="48"/>
    </row>
    <row r="399" spans="1:15" ht="25.5">
      <c r="A399" s="35"/>
      <c r="B399" s="51" t="s">
        <v>175</v>
      </c>
      <c r="C399" s="10">
        <f t="shared" si="99"/>
        <v>0</v>
      </c>
      <c r="D399" s="48"/>
      <c r="E399" s="48"/>
      <c r="F399" s="48"/>
      <c r="G399" s="48"/>
      <c r="H399" s="48"/>
      <c r="I399" s="48"/>
      <c r="J399" s="48"/>
      <c r="K399" s="48"/>
      <c r="L399" s="48"/>
      <c r="M399" s="48"/>
      <c r="N399" s="48"/>
      <c r="O399" s="48"/>
    </row>
    <row r="400" spans="1:15" ht="25.5">
      <c r="A400" s="35"/>
      <c r="B400" s="51" t="s">
        <v>172</v>
      </c>
      <c r="C400" s="10">
        <f t="shared" si="99"/>
        <v>0</v>
      </c>
      <c r="D400" s="48"/>
      <c r="E400" s="48"/>
      <c r="F400" s="48"/>
      <c r="G400" s="48"/>
      <c r="H400" s="48"/>
      <c r="I400" s="48"/>
      <c r="J400" s="48"/>
      <c r="K400" s="48"/>
      <c r="L400" s="48"/>
      <c r="M400" s="48"/>
      <c r="N400" s="48"/>
      <c r="O400" s="48"/>
    </row>
    <row r="401" spans="1:15" ht="12.75">
      <c r="A401" s="35"/>
      <c r="B401" s="51" t="s">
        <v>173</v>
      </c>
      <c r="C401" s="10">
        <f t="shared" si="99"/>
        <v>0</v>
      </c>
      <c r="D401" s="48"/>
      <c r="E401" s="48"/>
      <c r="F401" s="48"/>
      <c r="G401" s="48"/>
      <c r="H401" s="48"/>
      <c r="I401" s="48"/>
      <c r="J401" s="48"/>
      <c r="K401" s="48"/>
      <c r="L401" s="48"/>
      <c r="M401" s="48"/>
      <c r="N401" s="48"/>
      <c r="O401" s="48"/>
    </row>
    <row r="402" spans="1:15" ht="38.25">
      <c r="A402" s="35"/>
      <c r="B402" s="70" t="s">
        <v>177</v>
      </c>
      <c r="C402" s="10">
        <f t="shared" si="99"/>
        <v>0</v>
      </c>
      <c r="D402" s="48"/>
      <c r="E402" s="48"/>
      <c r="F402" s="48"/>
      <c r="G402" s="48"/>
      <c r="H402" s="48"/>
      <c r="I402" s="48"/>
      <c r="J402" s="48"/>
      <c r="K402" s="48"/>
      <c r="L402" s="48"/>
      <c r="M402" s="48"/>
      <c r="N402" s="48"/>
      <c r="O402" s="48"/>
    </row>
    <row r="403" spans="1:15" ht="38.25">
      <c r="A403" s="35"/>
      <c r="B403" s="70" t="s">
        <v>178</v>
      </c>
      <c r="C403" s="10">
        <f t="shared" si="99"/>
        <v>0</v>
      </c>
      <c r="D403" s="48"/>
      <c r="E403" s="48"/>
      <c r="F403" s="48"/>
      <c r="G403" s="48"/>
      <c r="H403" s="48"/>
      <c r="I403" s="48"/>
      <c r="J403" s="48"/>
      <c r="K403" s="48"/>
      <c r="L403" s="48"/>
      <c r="M403" s="48"/>
      <c r="N403" s="48"/>
      <c r="O403" s="48"/>
    </row>
    <row r="404" spans="1:15" ht="12.75">
      <c r="A404" s="35"/>
      <c r="B404" s="51" t="s">
        <v>198</v>
      </c>
      <c r="C404" s="10">
        <f t="shared" si="99"/>
        <v>-26547.22</v>
      </c>
      <c r="D404" s="48"/>
      <c r="E404" s="48"/>
      <c r="F404" s="48">
        <v>-53</v>
      </c>
      <c r="G404" s="48"/>
      <c r="H404" s="48"/>
      <c r="I404" s="48"/>
      <c r="J404" s="48">
        <v>-3239.48</v>
      </c>
      <c r="K404" s="48">
        <v>-7867.8</v>
      </c>
      <c r="L404" s="48">
        <v>-1002.36</v>
      </c>
      <c r="M404" s="48">
        <v>-117.96</v>
      </c>
      <c r="N404" s="48">
        <v>-2638.01</v>
      </c>
      <c r="O404" s="48">
        <v>-11628.61</v>
      </c>
    </row>
    <row r="405" spans="1:15" s="25" customFormat="1" ht="12.75">
      <c r="A405" s="28">
        <v>60</v>
      </c>
      <c r="B405" s="29" t="s">
        <v>197</v>
      </c>
      <c r="C405" s="30">
        <f>SUM(D405:O405)</f>
        <v>2400</v>
      </c>
      <c r="D405" s="49"/>
      <c r="E405" s="49"/>
      <c r="F405" s="49"/>
      <c r="G405" s="49"/>
      <c r="H405" s="49"/>
      <c r="I405" s="49"/>
      <c r="J405" s="49">
        <v>2000</v>
      </c>
      <c r="K405" s="49"/>
      <c r="L405" s="49"/>
      <c r="M405" s="49"/>
      <c r="N405" s="49">
        <v>400</v>
      </c>
      <c r="O405" s="49"/>
    </row>
    <row r="406" spans="1:15" s="25" customFormat="1" ht="12.75">
      <c r="A406" s="28">
        <v>61</v>
      </c>
      <c r="B406" s="29" t="s">
        <v>54</v>
      </c>
      <c r="C406" s="30">
        <f>SUM(D406:O406)</f>
        <v>19281</v>
      </c>
      <c r="D406" s="49"/>
      <c r="E406" s="49"/>
      <c r="F406" s="49">
        <v>19281</v>
      </c>
      <c r="G406" s="49"/>
      <c r="H406" s="49"/>
      <c r="I406" s="49"/>
      <c r="J406" s="49"/>
      <c r="K406" s="49"/>
      <c r="L406" s="49"/>
      <c r="M406" s="49"/>
      <c r="N406" s="49"/>
      <c r="O406" s="49"/>
    </row>
    <row r="407" spans="1:15" s="25" customFormat="1" ht="12.75">
      <c r="A407" s="28">
        <v>62</v>
      </c>
      <c r="B407" s="29" t="s">
        <v>45</v>
      </c>
      <c r="C407" s="30">
        <f aca="true" t="shared" si="100" ref="C407:C417">SUM(D407:O407)</f>
        <v>0</v>
      </c>
      <c r="D407" s="30"/>
      <c r="E407" s="30"/>
      <c r="F407" s="30"/>
      <c r="G407" s="30"/>
      <c r="H407" s="30"/>
      <c r="I407" s="30"/>
      <c r="J407" s="30"/>
      <c r="K407" s="30"/>
      <c r="L407" s="30"/>
      <c r="M407" s="30"/>
      <c r="N407" s="30"/>
      <c r="O407" s="30"/>
    </row>
    <row r="408" spans="1:15" s="25" customFormat="1" ht="12.75">
      <c r="A408" s="28">
        <v>63</v>
      </c>
      <c r="B408" s="29" t="s">
        <v>46</v>
      </c>
      <c r="C408" s="30">
        <f t="shared" si="100"/>
        <v>1046935.9699999999</v>
      </c>
      <c r="D408" s="30">
        <v>65106.64</v>
      </c>
      <c r="E408" s="30"/>
      <c r="F408" s="30">
        <v>102302.16</v>
      </c>
      <c r="G408" s="30">
        <v>93432.41</v>
      </c>
      <c r="H408" s="30">
        <v>89108</v>
      </c>
      <c r="I408" s="30">
        <v>91948.85</v>
      </c>
      <c r="J408" s="30">
        <v>98388.11</v>
      </c>
      <c r="K408" s="30">
        <v>80490.75</v>
      </c>
      <c r="L408" s="30">
        <v>73199.23</v>
      </c>
      <c r="M408" s="30"/>
      <c r="N408" s="30">
        <f>83331.59+82858.12+91917.28</f>
        <v>258106.99</v>
      </c>
      <c r="O408" s="30">
        <v>94852.83</v>
      </c>
    </row>
    <row r="409" spans="1:15" s="25" customFormat="1" ht="12.75">
      <c r="A409" s="28">
        <v>64</v>
      </c>
      <c r="B409" s="29" t="s">
        <v>47</v>
      </c>
      <c r="C409" s="30">
        <f t="shared" si="100"/>
        <v>1908713.0699999998</v>
      </c>
      <c r="D409" s="30"/>
      <c r="E409" s="30">
        <v>254996.1</v>
      </c>
      <c r="F409" s="30">
        <v>182762.81</v>
      </c>
      <c r="G409" s="30">
        <f>281728.75+309732.68</f>
        <v>591461.4299999999</v>
      </c>
      <c r="H409" s="30">
        <v>208307.71</v>
      </c>
      <c r="I409" s="30"/>
      <c r="J409" s="30">
        <v>166139.4</v>
      </c>
      <c r="K409" s="30">
        <f>85961.06+50225.16</f>
        <v>136186.22</v>
      </c>
      <c r="L409" s="30">
        <v>12085.23</v>
      </c>
      <c r="M409" s="30"/>
      <c r="N409" s="30">
        <f>23455.75+29628.3+95707.23</f>
        <v>148791.28</v>
      </c>
      <c r="O409" s="30">
        <v>207982.89</v>
      </c>
    </row>
    <row r="410" spans="1:15" s="25" customFormat="1" ht="12.75">
      <c r="A410" s="28">
        <v>65</v>
      </c>
      <c r="B410" s="29" t="s">
        <v>48</v>
      </c>
      <c r="C410" s="30">
        <f t="shared" si="100"/>
        <v>2281572.74</v>
      </c>
      <c r="D410" s="30">
        <v>171395.66</v>
      </c>
      <c r="E410" s="30">
        <v>221531.4</v>
      </c>
      <c r="F410" s="30">
        <v>214724.59</v>
      </c>
      <c r="G410" s="30">
        <v>194811.68</v>
      </c>
      <c r="H410" s="30">
        <v>100000</v>
      </c>
      <c r="I410" s="30">
        <f>87077.18+198200.09</f>
        <v>285277.27</v>
      </c>
      <c r="J410" s="30">
        <v>157259.13</v>
      </c>
      <c r="K410" s="30">
        <v>166260.16</v>
      </c>
      <c r="L410" s="30">
        <v>192287.57</v>
      </c>
      <c r="M410" s="30">
        <v>172817.76</v>
      </c>
      <c r="N410" s="30">
        <v>196073.31</v>
      </c>
      <c r="O410" s="30">
        <v>209134.21</v>
      </c>
    </row>
    <row r="411" spans="1:15" s="25" customFormat="1" ht="12.75">
      <c r="A411" s="28">
        <v>66</v>
      </c>
      <c r="B411" s="29" t="s">
        <v>419</v>
      </c>
      <c r="C411" s="30">
        <f t="shared" si="100"/>
        <v>10500</v>
      </c>
      <c r="D411" s="30">
        <f>D412+D413</f>
        <v>0</v>
      </c>
      <c r="E411" s="30">
        <f aca="true" t="shared" si="101" ref="E411:O411">E412+E413</f>
        <v>0</v>
      </c>
      <c r="F411" s="30">
        <f t="shared" si="101"/>
        <v>0</v>
      </c>
      <c r="G411" s="30">
        <f t="shared" si="101"/>
        <v>0</v>
      </c>
      <c r="H411" s="30">
        <f t="shared" si="101"/>
        <v>0</v>
      </c>
      <c r="I411" s="30">
        <f t="shared" si="101"/>
        <v>0</v>
      </c>
      <c r="J411" s="30">
        <f t="shared" si="101"/>
        <v>0</v>
      </c>
      <c r="K411" s="30">
        <f t="shared" si="101"/>
        <v>0</v>
      </c>
      <c r="L411" s="30">
        <f t="shared" si="101"/>
        <v>0</v>
      </c>
      <c r="M411" s="30">
        <f t="shared" si="101"/>
        <v>0</v>
      </c>
      <c r="N411" s="30">
        <f t="shared" si="101"/>
        <v>0</v>
      </c>
      <c r="O411" s="30">
        <f t="shared" si="101"/>
        <v>10500</v>
      </c>
    </row>
    <row r="412" spans="1:15" ht="12.75">
      <c r="A412" s="48"/>
      <c r="B412" s="48" t="s">
        <v>420</v>
      </c>
      <c r="C412" s="10">
        <f t="shared" si="100"/>
        <v>10500</v>
      </c>
      <c r="D412" s="10"/>
      <c r="E412" s="10"/>
      <c r="F412" s="10"/>
      <c r="G412" s="10"/>
      <c r="H412" s="10"/>
      <c r="I412" s="10"/>
      <c r="J412" s="10"/>
      <c r="K412" s="10"/>
      <c r="L412" s="10"/>
      <c r="M412" s="10"/>
      <c r="N412" s="10"/>
      <c r="O412" s="10">
        <v>10500</v>
      </c>
    </row>
    <row r="413" spans="1:15" ht="12.75">
      <c r="A413" s="48"/>
      <c r="B413" s="48"/>
      <c r="C413" s="10">
        <f t="shared" si="100"/>
        <v>0</v>
      </c>
      <c r="D413" s="10"/>
      <c r="E413" s="10"/>
      <c r="F413" s="10"/>
      <c r="G413" s="10"/>
      <c r="H413" s="10"/>
      <c r="I413" s="10"/>
      <c r="J413" s="10"/>
      <c r="K413" s="10"/>
      <c r="L413" s="10"/>
      <c r="M413" s="10"/>
      <c r="N413" s="10"/>
      <c r="O413" s="10"/>
    </row>
    <row r="414" spans="1:15" ht="12.75">
      <c r="A414" s="49">
        <v>67</v>
      </c>
      <c r="B414" s="49" t="s">
        <v>246</v>
      </c>
      <c r="C414" s="30">
        <f>SUM(D414:O414)</f>
        <v>11014.14</v>
      </c>
      <c r="D414" s="30">
        <v>7000</v>
      </c>
      <c r="E414" s="30"/>
      <c r="F414" s="30"/>
      <c r="G414" s="30"/>
      <c r="H414" s="30"/>
      <c r="I414" s="30"/>
      <c r="J414" s="30"/>
      <c r="K414" s="30"/>
      <c r="L414" s="30">
        <v>4014.14</v>
      </c>
      <c r="M414" s="30"/>
      <c r="N414" s="30"/>
      <c r="O414" s="30"/>
    </row>
    <row r="415" spans="1:15" ht="12.75">
      <c r="A415" s="48"/>
      <c r="B415" s="48"/>
      <c r="C415" s="10">
        <f t="shared" si="100"/>
        <v>0</v>
      </c>
      <c r="D415" s="10"/>
      <c r="E415" s="10"/>
      <c r="F415" s="10"/>
      <c r="G415" s="10"/>
      <c r="H415" s="10"/>
      <c r="I415" s="10"/>
      <c r="J415" s="10"/>
      <c r="K415" s="10"/>
      <c r="L415" s="10"/>
      <c r="M415" s="10"/>
      <c r="N415" s="10"/>
      <c r="O415" s="10"/>
    </row>
    <row r="416" spans="1:15" ht="12.75">
      <c r="A416" s="48"/>
      <c r="B416" s="48"/>
      <c r="C416" s="10">
        <f t="shared" si="100"/>
        <v>0</v>
      </c>
      <c r="D416" s="10"/>
      <c r="E416" s="10"/>
      <c r="F416" s="10"/>
      <c r="G416" s="10"/>
      <c r="H416" s="10"/>
      <c r="I416" s="10"/>
      <c r="J416" s="10"/>
      <c r="K416" s="10"/>
      <c r="L416" s="10"/>
      <c r="M416" s="10"/>
      <c r="N416" s="10"/>
      <c r="O416" s="10"/>
    </row>
    <row r="417" spans="2:15" ht="12.75">
      <c r="B417" s="31" t="s">
        <v>210</v>
      </c>
      <c r="C417" s="85">
        <f t="shared" si="100"/>
        <v>9236340.99</v>
      </c>
      <c r="D417" s="9">
        <f aca="true" t="shared" si="102" ref="D417:O417">SUMIF($A$253:$A$416,"&lt;&gt;",D253:D416)</f>
        <v>465801.68000000005</v>
      </c>
      <c r="E417" s="9">
        <f t="shared" si="102"/>
        <v>784381.45</v>
      </c>
      <c r="F417" s="9">
        <f t="shared" si="102"/>
        <v>963840.2600000001</v>
      </c>
      <c r="G417" s="9">
        <f t="shared" si="102"/>
        <v>1162089.51</v>
      </c>
      <c r="H417" s="9">
        <f t="shared" si="102"/>
        <v>754511.1600000001</v>
      </c>
      <c r="I417" s="9">
        <f t="shared" si="102"/>
        <v>727744.09</v>
      </c>
      <c r="J417" s="9">
        <f t="shared" si="102"/>
        <v>842753.88</v>
      </c>
      <c r="K417" s="9">
        <f t="shared" si="102"/>
        <v>678854.77</v>
      </c>
      <c r="L417" s="9">
        <f t="shared" si="102"/>
        <v>530066.93</v>
      </c>
      <c r="M417" s="9">
        <f t="shared" si="102"/>
        <v>484518.28</v>
      </c>
      <c r="N417" s="9">
        <f t="shared" si="102"/>
        <v>956452.73</v>
      </c>
      <c r="O417" s="9">
        <f t="shared" si="102"/>
        <v>885326.25</v>
      </c>
    </row>
    <row r="419" spans="3:15" ht="12.75">
      <c r="C419" s="77" t="s">
        <v>208</v>
      </c>
      <c r="D419" s="9">
        <v>465801.68</v>
      </c>
      <c r="E419" s="9">
        <v>784381.45</v>
      </c>
      <c r="F419" s="9">
        <v>963840.26</v>
      </c>
      <c r="G419" s="9">
        <v>1162089.51</v>
      </c>
      <c r="H419" s="9">
        <v>754511.16</v>
      </c>
      <c r="I419" s="9">
        <v>727744.09</v>
      </c>
      <c r="J419" s="9">
        <v>842753.88</v>
      </c>
      <c r="K419" s="9">
        <v>678854.77</v>
      </c>
      <c r="L419" s="9">
        <v>530066.93</v>
      </c>
      <c r="M419" s="9">
        <v>484518.28</v>
      </c>
      <c r="N419" s="9">
        <v>956452.73</v>
      </c>
      <c r="O419" s="31">
        <v>885326.25</v>
      </c>
    </row>
    <row r="421" spans="3:15" ht="12.75">
      <c r="C421" s="81" t="s">
        <v>209</v>
      </c>
      <c r="D421" s="82">
        <f>D419-D417</f>
        <v>0</v>
      </c>
      <c r="E421" s="82">
        <f aca="true" t="shared" si="103" ref="E421:O421">E419-E417</f>
        <v>0</v>
      </c>
      <c r="F421" s="82">
        <f t="shared" si="103"/>
        <v>0</v>
      </c>
      <c r="G421" s="82">
        <f t="shared" si="103"/>
        <v>0</v>
      </c>
      <c r="H421" s="82">
        <f t="shared" si="103"/>
        <v>0</v>
      </c>
      <c r="I421" s="82">
        <f t="shared" si="103"/>
        <v>0</v>
      </c>
      <c r="J421" s="82">
        <f t="shared" si="103"/>
        <v>0</v>
      </c>
      <c r="K421" s="82">
        <f t="shared" si="103"/>
        <v>0</v>
      </c>
      <c r="L421" s="82">
        <f t="shared" si="103"/>
        <v>0</v>
      </c>
      <c r="M421" s="82">
        <f t="shared" si="103"/>
        <v>0</v>
      </c>
      <c r="N421" s="82">
        <f t="shared" si="103"/>
        <v>0</v>
      </c>
      <c r="O421" s="82">
        <f t="shared" si="103"/>
        <v>0</v>
      </c>
    </row>
  </sheetData>
  <sheetProtection/>
  <autoFilter ref="A252:O417"/>
  <printOptions/>
  <pageMargins left="0.31496062992125984" right="0.31496062992125984" top="0.35433070866141736" bottom="0.35433070866141736" header="0.31496062992125984" footer="0.31496062992125984"/>
  <pageSetup fitToHeight="10" fitToWidth="1" horizontalDpi="600" verticalDpi="600" orientation="landscape" paperSize="9" scale="75"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G226"/>
  <sheetViews>
    <sheetView zoomScalePageLayoutView="0" workbookViewId="0" topLeftCell="A59">
      <selection activeCell="D61" sqref="D61"/>
    </sheetView>
  </sheetViews>
  <sheetFormatPr defaultColWidth="9.140625" defaultRowHeight="15"/>
  <cols>
    <col min="1" max="1" width="3.00390625" style="0" bestFit="1" customWidth="1"/>
    <col min="2" max="2" width="33.8515625" style="0" customWidth="1"/>
    <col min="3" max="4" width="13.28125" style="0" customWidth="1"/>
    <col min="5" max="5" width="19.00390625" style="0" customWidth="1"/>
    <col min="6" max="6" width="11.421875" style="0" bestFit="1" customWidth="1"/>
    <col min="7" max="7" width="12.140625" style="0" customWidth="1"/>
  </cols>
  <sheetData>
    <row r="1" spans="2:4" ht="25.5" customHeight="1">
      <c r="B1" s="186" t="str">
        <f>'ОДДС 2011'!B1</f>
        <v>РЕЗУЛЬТАТЫ ДЕЯТЕЛЬНОСТИ ПОМЕСЯЧНО ТСЖ"ТАТИЩЕВА,92"</v>
      </c>
      <c r="C1" s="186"/>
      <c r="D1" s="186"/>
    </row>
    <row r="2" spans="2:5" ht="51">
      <c r="B2" s="17" t="s">
        <v>73</v>
      </c>
      <c r="C2" s="17" t="s">
        <v>74</v>
      </c>
      <c r="D2" s="17" t="s">
        <v>75</v>
      </c>
      <c r="E2" s="17" t="s">
        <v>224</v>
      </c>
    </row>
    <row r="3" spans="2:5" ht="25.5">
      <c r="B3" s="13" t="str">
        <f>'ОДДС 2011'!B3</f>
        <v>Содержание и ремонт общедомового имущества</v>
      </c>
      <c r="C3" s="12">
        <f>'ОДДС 2011'!C3</f>
        <v>3602782.559999999</v>
      </c>
      <c r="D3" s="12">
        <f>'ОДДС 2011'!C44</f>
        <v>3565985.13</v>
      </c>
      <c r="E3" s="12">
        <f>C3-D3</f>
        <v>36797.429999999236</v>
      </c>
    </row>
    <row r="4" spans="2:5" ht="15">
      <c r="B4" s="14" t="str">
        <f>'ОДДС 2011'!B4</f>
        <v>квартиры</v>
      </c>
      <c r="C4" s="4">
        <f>'ОДДС 2011'!C4</f>
        <v>2956083.2399999998</v>
      </c>
      <c r="D4" s="4">
        <f>'ОДДС 2011'!C45</f>
        <v>2946689.85</v>
      </c>
      <c r="E4" s="4">
        <f aca="true" t="shared" si="0" ref="E4:E40">C4-D4</f>
        <v>9393.389999999665</v>
      </c>
    </row>
    <row r="5" spans="2:5" ht="15">
      <c r="B5" s="14" t="str">
        <f>'ОДДС 2011'!B5</f>
        <v>офисы</v>
      </c>
      <c r="C5" s="4">
        <f>'ОДДС 2011'!C5</f>
        <v>362955.3600000001</v>
      </c>
      <c r="D5" s="4">
        <f>'ОДДС 2011'!C46</f>
        <v>366445.26</v>
      </c>
      <c r="E5" s="4">
        <f t="shared" si="0"/>
        <v>-3489.899999999907</v>
      </c>
    </row>
    <row r="6" spans="2:5" ht="15">
      <c r="B6" s="15" t="str">
        <f>'ОДДС 2011'!B6</f>
        <v>гаражи</v>
      </c>
      <c r="C6" s="4">
        <f>'ОДДС 2011'!C6</f>
        <v>283743.9600000001</v>
      </c>
      <c r="D6" s="4">
        <f>'ОДДС 2011'!C47</f>
        <v>252850.02</v>
      </c>
      <c r="E6" s="4">
        <f t="shared" si="0"/>
        <v>30893.94000000009</v>
      </c>
    </row>
    <row r="7" spans="2:5" ht="25.5">
      <c r="B7" s="13" t="str">
        <f>'ОДДС 2011'!B7</f>
        <v>Взносы на капитальный ремонт</v>
      </c>
      <c r="C7" s="12">
        <f>'ОДДС 2011'!C7</f>
        <v>552681</v>
      </c>
      <c r="D7" s="12">
        <f>'ОДДС 2011'!C48</f>
        <v>558494.67</v>
      </c>
      <c r="E7" s="12">
        <f t="shared" si="0"/>
        <v>-5813.670000000042</v>
      </c>
    </row>
    <row r="8" spans="2:5" ht="15">
      <c r="B8" s="14" t="str">
        <f>'ОДДС 2011'!B8</f>
        <v>квартиры</v>
      </c>
      <c r="C8" s="4">
        <f>'ОДДС 2011'!C8</f>
        <v>453387</v>
      </c>
      <c r="D8" s="4">
        <f>'ОДДС 2011'!C49</f>
        <v>459190.6600000001</v>
      </c>
      <c r="E8" s="4">
        <f t="shared" si="0"/>
        <v>-5803.660000000091</v>
      </c>
    </row>
    <row r="9" spans="2:5" ht="15">
      <c r="B9" s="14" t="str">
        <f>'ОДДС 2011'!B9</f>
        <v>офисы</v>
      </c>
      <c r="C9" s="4">
        <f>'ОДДС 2011'!C9</f>
        <v>55668</v>
      </c>
      <c r="D9" s="4">
        <f>'ОДДС 2011'!C50</f>
        <v>56774.79</v>
      </c>
      <c r="E9" s="4">
        <f t="shared" si="0"/>
        <v>-1106.7900000000009</v>
      </c>
    </row>
    <row r="10" spans="2:5" ht="15">
      <c r="B10" s="15" t="str">
        <f>'ОДДС 2011'!B10</f>
        <v>гаражи</v>
      </c>
      <c r="C10" s="4">
        <f>'ОДДС 2011'!C10</f>
        <v>43626</v>
      </c>
      <c r="D10" s="4">
        <f>'ОДДС 2011'!C51</f>
        <v>42529.22</v>
      </c>
      <c r="E10" s="4">
        <f t="shared" si="0"/>
        <v>1096.7799999999988</v>
      </c>
    </row>
    <row r="11" spans="2:5" ht="15">
      <c r="B11" s="13" t="str">
        <f>'ОДДС 2011'!B11</f>
        <v>Отопление</v>
      </c>
      <c r="C11" s="3">
        <f>'ОДДС 2011'!C11</f>
        <v>1101541.18</v>
      </c>
      <c r="D11" s="3">
        <f>'ОДДС 2011'!C52</f>
        <v>1157646.58</v>
      </c>
      <c r="E11" s="3">
        <f t="shared" si="0"/>
        <v>-56105.40000000014</v>
      </c>
    </row>
    <row r="12" spans="2:5" ht="15">
      <c r="B12" s="14" t="str">
        <f>'ОДДС 2011'!B12</f>
        <v>квартиры</v>
      </c>
      <c r="C12" s="4">
        <f>'ОДДС 2011'!C12</f>
        <v>807120.9300000002</v>
      </c>
      <c r="D12" s="4">
        <f>'ОДДС 2011'!C53</f>
        <v>826698.66</v>
      </c>
      <c r="E12" s="4">
        <f t="shared" si="0"/>
        <v>-19577.729999999865</v>
      </c>
    </row>
    <row r="13" spans="2:5" ht="15">
      <c r="B13" s="14" t="str">
        <f>'ОДДС 2011'!B13</f>
        <v>офисы</v>
      </c>
      <c r="C13" s="4">
        <f>'ОДДС 2011'!C13</f>
        <v>175887.33000000002</v>
      </c>
      <c r="D13" s="4">
        <f>'ОДДС 2011'!C54</f>
        <v>218884.93</v>
      </c>
      <c r="E13" s="4">
        <f t="shared" si="0"/>
        <v>-42997.59999999998</v>
      </c>
    </row>
    <row r="14" spans="2:5" ht="15">
      <c r="B14" s="14" t="str">
        <f>'ОДДС 2011'!B14</f>
        <v>гаражи</v>
      </c>
      <c r="C14" s="4">
        <f>'ОДДС 2011'!C14</f>
        <v>118532.92000000001</v>
      </c>
      <c r="D14" s="4">
        <f>'ОДДС 2011'!C55</f>
        <v>112062.99</v>
      </c>
      <c r="E14" s="4">
        <f t="shared" si="0"/>
        <v>6469.930000000008</v>
      </c>
    </row>
    <row r="15" spans="2:5" ht="15">
      <c r="B15" s="13" t="str">
        <f>'ОДДС 2011'!B15</f>
        <v>ХВС</v>
      </c>
      <c r="C15" s="3">
        <f>'ОДДС 2011'!C15</f>
        <v>401579.74000000005</v>
      </c>
      <c r="D15" s="3">
        <f>'ОДДС 2011'!C56</f>
        <v>393790.18999999994</v>
      </c>
      <c r="E15" s="3">
        <f t="shared" si="0"/>
        <v>7789.550000000105</v>
      </c>
    </row>
    <row r="16" spans="2:5" ht="15">
      <c r="B16" s="14" t="str">
        <f>'ОДДС 2011'!B16</f>
        <v>квартиры</v>
      </c>
      <c r="C16" s="4">
        <f>'ОДДС 2011'!C16</f>
        <v>369494.6</v>
      </c>
      <c r="D16" s="4">
        <f>'ОДДС 2011'!C57</f>
        <v>361587.3700000001</v>
      </c>
      <c r="E16" s="4">
        <f t="shared" si="0"/>
        <v>7907.229999999865</v>
      </c>
    </row>
    <row r="17" spans="2:5" ht="15">
      <c r="B17" s="14" t="str">
        <f>'ОДДС 2011'!B17</f>
        <v>офисы</v>
      </c>
      <c r="C17" s="4">
        <f>'ОДДС 2011'!C17</f>
        <v>32085.139999999996</v>
      </c>
      <c r="D17" s="4">
        <f>'ОДДС 2011'!C58</f>
        <v>32202.82</v>
      </c>
      <c r="E17" s="4">
        <f t="shared" si="0"/>
        <v>-117.68000000000393</v>
      </c>
    </row>
    <row r="18" spans="2:5" ht="15">
      <c r="B18" s="13" t="str">
        <f>'ОДДС 2011'!B18</f>
        <v>ГВС подача</v>
      </c>
      <c r="C18" s="3">
        <f>'ОДДС 2011'!C18</f>
        <v>295884.4</v>
      </c>
      <c r="D18" s="3">
        <f>'ОДДС 2011'!C59</f>
        <v>297824.47000000003</v>
      </c>
      <c r="E18" s="3">
        <f t="shared" si="0"/>
        <v>-1940.070000000007</v>
      </c>
    </row>
    <row r="19" spans="2:5" ht="15">
      <c r="B19" s="14" t="str">
        <f>'ОДДС 2011'!B19</f>
        <v>квартиры</v>
      </c>
      <c r="C19" s="4">
        <f>'ОДДС 2011'!C19</f>
        <v>277956.95999999996</v>
      </c>
      <c r="D19" s="4">
        <f>'ОДДС 2011'!C60</f>
        <v>277704.57999999996</v>
      </c>
      <c r="E19" s="4">
        <f t="shared" si="0"/>
        <v>252.38000000000466</v>
      </c>
    </row>
    <row r="20" spans="2:5" ht="15">
      <c r="B20" s="14" t="str">
        <f>'ОДДС 2011'!B20</f>
        <v>офисы</v>
      </c>
      <c r="C20" s="4">
        <f>'ОДДС 2011'!C20</f>
        <v>17927.44</v>
      </c>
      <c r="D20" s="4">
        <f>'ОДДС 2011'!C61</f>
        <v>20119.890000000003</v>
      </c>
      <c r="E20" s="4">
        <f t="shared" si="0"/>
        <v>-2192.4500000000044</v>
      </c>
    </row>
    <row r="21" spans="2:5" ht="15">
      <c r="B21" s="13" t="str">
        <f>'ОДДС 2011'!B21</f>
        <v>ГВС нагрев</v>
      </c>
      <c r="C21" s="3">
        <f>'ОДДС 2011'!C21</f>
        <v>532632.1</v>
      </c>
      <c r="D21" s="3">
        <f>'ОДДС 2011'!C62</f>
        <v>551522.0499999999</v>
      </c>
      <c r="E21" s="3">
        <f t="shared" si="0"/>
        <v>-18889.949999999953</v>
      </c>
    </row>
    <row r="22" spans="2:5" ht="15">
      <c r="B22" s="14" t="str">
        <f>'ОДДС 2011'!B22</f>
        <v>квартиры</v>
      </c>
      <c r="C22" s="4">
        <f>'ОДДС 2011'!C22</f>
        <v>501779.6099999999</v>
      </c>
      <c r="D22" s="4">
        <f>'ОДДС 2011'!C63</f>
        <v>511255.34</v>
      </c>
      <c r="E22" s="4">
        <f t="shared" si="0"/>
        <v>-9475.730000000098</v>
      </c>
    </row>
    <row r="23" spans="2:5" ht="15">
      <c r="B23" s="14" t="str">
        <f>'ОДДС 2011'!B23</f>
        <v>офисы</v>
      </c>
      <c r="C23" s="4">
        <f>'ОДДС 2011'!C23</f>
        <v>30852.49</v>
      </c>
      <c r="D23" s="4">
        <f>'ОДДС 2011'!C64</f>
        <v>40266.71</v>
      </c>
      <c r="E23" s="4">
        <f t="shared" si="0"/>
        <v>-9414.219999999998</v>
      </c>
    </row>
    <row r="24" spans="2:5" ht="15">
      <c r="B24" s="13" t="str">
        <f>'ОДДС 2011'!B24</f>
        <v>Водоотведение</v>
      </c>
      <c r="C24" s="3">
        <f>'ОДДС 2011'!C24</f>
        <v>360355.88999999996</v>
      </c>
      <c r="D24" s="3">
        <f>'ОДДС 2011'!C65</f>
        <v>359051.19</v>
      </c>
      <c r="E24" s="3">
        <f t="shared" si="0"/>
        <v>1304.6999999999534</v>
      </c>
    </row>
    <row r="25" spans="2:5" ht="15">
      <c r="B25" s="14" t="str">
        <f>'ОДДС 2011'!B25</f>
        <v>квартиры</v>
      </c>
      <c r="C25" s="4">
        <f>'ОДДС 2011'!C25</f>
        <v>335345.12999999995</v>
      </c>
      <c r="D25" s="4">
        <f>'ОДДС 2011'!C66</f>
        <v>331993.49</v>
      </c>
      <c r="E25" s="4">
        <f t="shared" si="0"/>
        <v>3351.6399999999558</v>
      </c>
    </row>
    <row r="26" spans="2:7" ht="15">
      <c r="B26" s="14" t="str">
        <f>'ОДДС 2011'!B26</f>
        <v>офисы</v>
      </c>
      <c r="C26" s="4">
        <f>'ОДДС 2011'!C26</f>
        <v>25010.759999999995</v>
      </c>
      <c r="D26" s="4">
        <f>'ОДДС 2011'!C67</f>
        <v>27057.699999999997</v>
      </c>
      <c r="E26" s="4">
        <f t="shared" si="0"/>
        <v>-2046.9400000000023</v>
      </c>
      <c r="G26" s="57">
        <v>100587.1</v>
      </c>
    </row>
    <row r="27" spans="2:7" ht="15">
      <c r="B27" s="13" t="str">
        <f>'ОДДС 2011'!B27</f>
        <v>Электроэнергия</v>
      </c>
      <c r="C27" s="3">
        <f>'ОДДС 2011'!C27</f>
        <v>2191386.2600000002</v>
      </c>
      <c r="D27" s="3">
        <f>'ОДДС 2011'!C68</f>
        <v>2260135.2</v>
      </c>
      <c r="E27" s="3">
        <f t="shared" si="0"/>
        <v>-68748.93999999994</v>
      </c>
      <c r="G27" s="57">
        <v>45176.28</v>
      </c>
    </row>
    <row r="28" spans="2:7" ht="15">
      <c r="B28" s="14" t="str">
        <f>'ОДДС 2011'!B28</f>
        <v>квартиры</v>
      </c>
      <c r="C28" s="4">
        <f>'ОДДС 2011'!C28</f>
        <v>1081009.9099999997</v>
      </c>
      <c r="D28" s="4">
        <f>'ОДДС 2011'!C69</f>
        <v>1087495.49</v>
      </c>
      <c r="E28" s="4">
        <f t="shared" si="0"/>
        <v>-6485.580000000307</v>
      </c>
      <c r="G28" s="57">
        <f>D41+G26+G27</f>
        <v>9499777.64</v>
      </c>
    </row>
    <row r="29" spans="2:7" ht="15">
      <c r="B29" s="14" t="str">
        <f>'ОДДС 2011'!B29</f>
        <v>офисы</v>
      </c>
      <c r="C29" s="4">
        <f>'ОДДС 2011'!C29</f>
        <v>952261.23</v>
      </c>
      <c r="D29" s="4">
        <f>'ОДДС 2011'!C70</f>
        <v>1107055.68</v>
      </c>
      <c r="E29" s="4">
        <f t="shared" si="0"/>
        <v>-154794.44999999995</v>
      </c>
      <c r="F29" s="20"/>
      <c r="G29" s="58"/>
    </row>
    <row r="30" spans="2:7" ht="15">
      <c r="B30" s="14" t="str">
        <f>'ОДДС 2011'!B30</f>
        <v>гаражи</v>
      </c>
      <c r="C30" s="4">
        <f>'ОДДС 2011'!C30</f>
        <v>158115.12000000002</v>
      </c>
      <c r="D30" s="4">
        <f>'ОДДС 2011'!C71</f>
        <v>65584.03</v>
      </c>
      <c r="E30" s="4">
        <f t="shared" si="0"/>
        <v>92531.09000000003</v>
      </c>
      <c r="G30" s="57">
        <f>243905.91+1825+1100</f>
        <v>246830.91</v>
      </c>
    </row>
    <row r="31" spans="2:7" ht="15">
      <c r="B31" s="13" t="str">
        <f>'ОДДС 2011'!B31</f>
        <v>Перерасчет</v>
      </c>
      <c r="C31" s="3">
        <f>'ОДДС 2011'!C31</f>
        <v>0</v>
      </c>
      <c r="D31" s="3">
        <f>'ОДДС 2011'!C72</f>
        <v>192.1299999999992</v>
      </c>
      <c r="E31" s="3">
        <f t="shared" si="0"/>
        <v>-192.1299999999992</v>
      </c>
      <c r="G31" s="57">
        <v>5846708.67</v>
      </c>
    </row>
    <row r="32" spans="2:7" ht="15">
      <c r="B32" s="14" t="str">
        <f>'ОДДС 2011'!B32</f>
        <v>квартиры</v>
      </c>
      <c r="C32" s="4">
        <f>'ОДДС 2011'!C32</f>
        <v>0</v>
      </c>
      <c r="D32" s="4">
        <f>'ОДДС 2011'!C73</f>
        <v>-2715.19</v>
      </c>
      <c r="E32" s="4">
        <f t="shared" si="0"/>
        <v>2715.19</v>
      </c>
      <c r="G32" s="57">
        <f>SUM(G30:G31)</f>
        <v>6093539.58</v>
      </c>
    </row>
    <row r="33" spans="2:7" ht="15">
      <c r="B33" s="14" t="str">
        <f>'ОДДС 2011'!B33</f>
        <v>офисы</v>
      </c>
      <c r="C33" s="4">
        <f>'ОДДС 2011'!C33</f>
        <v>0</v>
      </c>
      <c r="D33" s="4">
        <f>'ОДДС 2011'!C74</f>
        <v>4084.49</v>
      </c>
      <c r="E33" s="4">
        <f t="shared" si="0"/>
        <v>-4084.49</v>
      </c>
      <c r="G33" s="59">
        <v>1238</v>
      </c>
    </row>
    <row r="34" spans="2:7" ht="15">
      <c r="B34" s="14" t="str">
        <f>'ОДДС 2011'!B34</f>
        <v>гаражи</v>
      </c>
      <c r="C34" s="4">
        <f>'ОДДС 2011'!C34</f>
        <v>0</v>
      </c>
      <c r="D34" s="4">
        <f>'ОДДС 2011'!C75</f>
        <v>-1177.17</v>
      </c>
      <c r="E34" s="4">
        <f t="shared" si="0"/>
        <v>1177.17</v>
      </c>
      <c r="G34" s="59">
        <v>10726.2</v>
      </c>
    </row>
    <row r="35" spans="2:7" ht="15">
      <c r="B35" s="13" t="str">
        <f>'ОДДС 2011'!B35</f>
        <v>Пени</v>
      </c>
      <c r="C35" s="3">
        <f>'ОДДС 2011'!C35</f>
        <v>31926.139999999996</v>
      </c>
      <c r="D35" s="3">
        <f>'ОДДС 2011'!C76</f>
        <v>29769.510000000002</v>
      </c>
      <c r="E35" s="3">
        <f t="shared" si="0"/>
        <v>2156.6299999999937</v>
      </c>
      <c r="G35" s="57">
        <v>3500</v>
      </c>
    </row>
    <row r="36" spans="2:7" ht="15">
      <c r="B36" s="13" t="str">
        <f>'ОДДС 2011'!B36</f>
        <v>Комиссия банка</v>
      </c>
      <c r="C36" s="3">
        <f>'ОДДС 2011'!C36</f>
        <v>0</v>
      </c>
      <c r="D36" s="3">
        <f>'ОДДС 2011'!C77</f>
        <v>0</v>
      </c>
      <c r="E36" s="3">
        <f t="shared" si="0"/>
        <v>0</v>
      </c>
      <c r="G36" s="57">
        <v>2001</v>
      </c>
    </row>
    <row r="37" spans="2:7" ht="15">
      <c r="B37" s="14" t="str">
        <f>'ОДДС 2011'!B37</f>
        <v>квартиры</v>
      </c>
      <c r="C37" s="4">
        <f>'ОДДС 2011'!C37</f>
        <v>0</v>
      </c>
      <c r="D37" s="4">
        <f>'ОДДС 2011'!C78</f>
        <v>0</v>
      </c>
      <c r="E37" s="4">
        <f t="shared" si="0"/>
        <v>0</v>
      </c>
      <c r="G37" s="57">
        <f>G32-G33-G34-G35-G36</f>
        <v>6076074.38</v>
      </c>
    </row>
    <row r="38" spans="2:7" ht="15">
      <c r="B38" s="14" t="str">
        <f>'ОДДС 2011'!B38</f>
        <v>гаражи</v>
      </c>
      <c r="C38" s="4">
        <f>'ОДДС 2011'!C38</f>
        <v>0</v>
      </c>
      <c r="D38" s="4">
        <f>'ОДДС 2011'!C79</f>
        <v>0</v>
      </c>
      <c r="E38" s="4">
        <f t="shared" si="0"/>
        <v>0</v>
      </c>
      <c r="G38" s="58"/>
    </row>
    <row r="39" spans="2:7" ht="38.25">
      <c r="B39" s="13" t="str">
        <f>'ОДДС 2011'!B39</f>
        <v>Плата провайдеров за размещение оборудования связи в доме</v>
      </c>
      <c r="C39" s="12">
        <f>'ОДДС 2011'!C39</f>
        <v>191000</v>
      </c>
      <c r="D39" s="12">
        <f>'ОДДС 2011'!C80</f>
        <v>168000</v>
      </c>
      <c r="E39" s="12">
        <f t="shared" si="0"/>
        <v>23000</v>
      </c>
      <c r="G39" s="57">
        <f>G37-D41</f>
        <v>-3277939.8800000018</v>
      </c>
    </row>
    <row r="40" spans="2:5" ht="15">
      <c r="B40" s="16" t="str">
        <f>'ОДДС 2011'!B40</f>
        <v>Прочие поступления</v>
      </c>
      <c r="C40" s="5">
        <f>'ОДДС 2011'!C40</f>
        <v>0</v>
      </c>
      <c r="D40" s="5">
        <f>'ОДДС 2011'!C81+'ОДДС 2011'!C82</f>
        <v>11603.14</v>
      </c>
      <c r="E40" s="5">
        <f t="shared" si="0"/>
        <v>-11603.14</v>
      </c>
    </row>
    <row r="41" spans="2:6" ht="15">
      <c r="B41" s="56" t="str">
        <f>'ОДДС 2011'!B41</f>
        <v>Итого</v>
      </c>
      <c r="C41" s="24">
        <f>'ОДДС 2011'!C41</f>
        <v>9261769.27</v>
      </c>
      <c r="D41" s="24">
        <f>'ОДДС 2011'!C83</f>
        <v>9354014.260000002</v>
      </c>
      <c r="E41" s="24">
        <f>C41-D41</f>
        <v>-92244.99000000209</v>
      </c>
      <c r="F41" s="60"/>
    </row>
    <row r="42" spans="2:5" ht="15">
      <c r="B42" s="102"/>
      <c r="C42" s="102"/>
      <c r="D42" s="102"/>
      <c r="E42" s="27"/>
    </row>
    <row r="43" spans="2:5" ht="15">
      <c r="B43" s="102"/>
      <c r="C43" s="102"/>
      <c r="D43" s="102"/>
      <c r="E43" s="27"/>
    </row>
    <row r="44" spans="3:5" ht="15">
      <c r="C44" s="6"/>
      <c r="D44" s="6"/>
      <c r="E44" s="6"/>
    </row>
    <row r="46" spans="2:5" ht="38.25">
      <c r="B46" s="17" t="s">
        <v>220</v>
      </c>
      <c r="C46" s="17" t="s">
        <v>222</v>
      </c>
      <c r="D46" s="17" t="s">
        <v>223</v>
      </c>
      <c r="E46" s="17" t="s">
        <v>76</v>
      </c>
    </row>
    <row r="47" spans="1:5" ht="38.25">
      <c r="A47" s="50">
        <f>'ОДДС 2011'!A88</f>
        <v>1</v>
      </c>
      <c r="B47" s="50" t="str">
        <f>'ОДДС 2011'!B88</f>
        <v>Оплата труда, включая РК, ЕСН, НС и ПЗ, НДФЛ, в том числе:</v>
      </c>
      <c r="C47" s="176">
        <f>'ОДДС 2011'!C88</f>
        <v>1740661.1400000001</v>
      </c>
      <c r="D47" s="3">
        <f>'ОДДС 2011'!C253</f>
        <v>1740661.1400000001</v>
      </c>
      <c r="E47" s="3">
        <f>C47-D47</f>
        <v>0</v>
      </c>
    </row>
    <row r="48" spans="1:5" ht="15">
      <c r="A48" s="86"/>
      <c r="B48" s="86" t="str">
        <f>'ОДДС 2011'!B89</f>
        <v>председатель</v>
      </c>
      <c r="C48" s="177">
        <f>'ОДДС 2011'!C89</f>
        <v>160215.6</v>
      </c>
      <c r="D48" s="4">
        <f>'ОДДС 2011'!C254</f>
        <v>160215.6</v>
      </c>
      <c r="E48" s="4">
        <f aca="true" t="shared" si="1" ref="E48:E116">C48-D48</f>
        <v>0</v>
      </c>
    </row>
    <row r="49" spans="1:5" ht="15">
      <c r="A49" s="86"/>
      <c r="B49" s="86" t="str">
        <f>'ОДДС 2011'!B90</f>
        <v>управляющий</v>
      </c>
      <c r="C49" s="177">
        <f>'ОДДС 2011'!C90</f>
        <v>360278.86000000004</v>
      </c>
      <c r="D49" s="4">
        <f>'ОДДС 2011'!C255</f>
        <v>360278.86000000004</v>
      </c>
      <c r="E49" s="4">
        <f t="shared" si="1"/>
        <v>0</v>
      </c>
    </row>
    <row r="50" spans="1:5" ht="15">
      <c r="A50" s="86"/>
      <c r="B50" s="86" t="str">
        <f>'ОДДС 2011'!B91</f>
        <v>бухгалтер</v>
      </c>
      <c r="C50" s="177">
        <f>'ОДДС 2011'!C91</f>
        <v>217571.43999999992</v>
      </c>
      <c r="D50" s="4">
        <f>'ОДДС 2011'!C256</f>
        <v>217571.43999999992</v>
      </c>
      <c r="E50" s="4">
        <f t="shared" si="1"/>
        <v>0</v>
      </c>
    </row>
    <row r="51" spans="1:5" ht="15">
      <c r="A51" s="86"/>
      <c r="B51" s="86" t="str">
        <f>'ОДДС 2011'!B92</f>
        <v>дворник, уборщицы</v>
      </c>
      <c r="C51" s="177">
        <f>'ОДДС 2011'!C92</f>
        <v>421037.11000000004</v>
      </c>
      <c r="D51" s="4">
        <f>'ОДДС 2011'!C257</f>
        <v>421037.1099999999</v>
      </c>
      <c r="E51" s="4">
        <f t="shared" si="1"/>
        <v>0</v>
      </c>
    </row>
    <row r="52" spans="1:5" ht="15">
      <c r="A52" s="86"/>
      <c r="B52" s="86" t="str">
        <f>'ОДДС 2011'!B93</f>
        <v>диспетчера</v>
      </c>
      <c r="C52" s="177">
        <f>'ОДДС 2011'!C93</f>
        <v>104493.60000000002</v>
      </c>
      <c r="D52" s="4">
        <f>'ОДДС 2011'!C258</f>
        <v>104493.60000000002</v>
      </c>
      <c r="E52" s="4">
        <f t="shared" si="1"/>
        <v>0</v>
      </c>
    </row>
    <row r="53" spans="1:5" ht="15">
      <c r="A53" s="86"/>
      <c r="B53" s="86" t="str">
        <f>'ОДДС 2011'!B94</f>
        <v>сантехники</v>
      </c>
      <c r="C53" s="177">
        <f>'ОДДС 2011'!C94</f>
        <v>364781.47</v>
      </c>
      <c r="D53" s="4">
        <f>'ОДДС 2011'!C259</f>
        <v>364781.47</v>
      </c>
      <c r="E53" s="4">
        <f t="shared" si="1"/>
        <v>0</v>
      </c>
    </row>
    <row r="54" spans="1:5" ht="15">
      <c r="A54" s="50"/>
      <c r="B54" s="86" t="str">
        <f>'ОДДС 2011'!B95</f>
        <v>электрики</v>
      </c>
      <c r="C54" s="177">
        <f>'ОДДС 2011'!C95</f>
        <v>112283.06</v>
      </c>
      <c r="D54" s="4">
        <f>'ОДДС 2011'!C260</f>
        <v>112283.06</v>
      </c>
      <c r="E54" s="4">
        <f t="shared" si="1"/>
        <v>0</v>
      </c>
    </row>
    <row r="55" spans="1:5" ht="15">
      <c r="A55" s="50">
        <v>2</v>
      </c>
      <c r="B55" s="50" t="str">
        <f>'ОДДС 2011'!B96</f>
        <v>Поздышев В.Ф</v>
      </c>
      <c r="C55" s="176">
        <f>'ОДДС 2011'!C96</f>
        <v>707.83</v>
      </c>
      <c r="D55" s="3">
        <f>'ОДДС 2011'!C261</f>
        <v>707.83</v>
      </c>
      <c r="E55" s="3">
        <f t="shared" si="1"/>
        <v>0</v>
      </c>
    </row>
    <row r="56" spans="1:5" ht="51">
      <c r="A56" s="86"/>
      <c r="B56" s="86" t="str">
        <f>'ОДДС 2011'!B97</f>
        <v>изготовление переходников (2 шт.) для подключения электроинструмента в патроны освещения</v>
      </c>
      <c r="C56" s="177">
        <f>'ОДДС 2011'!C97</f>
        <v>707.83</v>
      </c>
      <c r="D56" s="4">
        <f>'ОДДС 2011'!C262</f>
        <v>707.83</v>
      </c>
      <c r="E56" s="4">
        <f t="shared" si="1"/>
        <v>0</v>
      </c>
    </row>
    <row r="57" spans="1:5" ht="38.25">
      <c r="A57" s="50"/>
      <c r="B57" s="86" t="str">
        <f>'ОДДС 2011'!B98</f>
        <v>изготовление и монтаж крышки вентиляционной шахты чердака 5-го подъезда</v>
      </c>
      <c r="C57" s="177">
        <f>'ОДДС 2011'!C98</f>
        <v>0</v>
      </c>
      <c r="D57" s="4">
        <f>'ОДДС 2011'!C263</f>
        <v>0</v>
      </c>
      <c r="E57" s="4">
        <f t="shared" si="1"/>
        <v>0</v>
      </c>
    </row>
    <row r="58" spans="1:5" ht="15">
      <c r="A58" s="50">
        <v>3</v>
      </c>
      <c r="B58" s="50" t="str">
        <f>'ОДДС 2011'!B99</f>
        <v>Колосов В.П.</v>
      </c>
      <c r="C58" s="176">
        <f>'ОДДС 2011'!C99</f>
        <v>89849.48</v>
      </c>
      <c r="D58" s="3">
        <f>'ОДДС 2011'!C264</f>
        <v>89849.48</v>
      </c>
      <c r="E58" s="3">
        <f t="shared" si="1"/>
        <v>0</v>
      </c>
    </row>
    <row r="59" spans="1:5" ht="114.75">
      <c r="A59" s="86"/>
      <c r="B59" s="86" t="str">
        <f>'ОДДС 2011'!B100</f>
        <v>сварочные работы по установке балансировочного клапана Ballorex Ду 40 на магистрали отопления гаража для регулировки расхода тепловой энергии ИТП секция 7а, фланца для установки датчика температуры обратного трубопровода ИТП секция 7а, отвод от стояка ХВС в кв. 8</v>
      </c>
      <c r="C59" s="177">
        <f>'ОДДС 2011'!C100</f>
        <v>4244.49</v>
      </c>
      <c r="D59" s="4">
        <f>'ОДДС 2011'!C265</f>
        <v>4244.49</v>
      </c>
      <c r="E59" s="4">
        <f t="shared" si="1"/>
        <v>0</v>
      </c>
    </row>
    <row r="60" spans="1:5" ht="89.25">
      <c r="A60" s="86"/>
      <c r="B60" s="86" t="str">
        <f>'ОДДС 2011'!B101</f>
        <v>сварочные работыпо ремонту контура нагрева калорифера приточной вентиляции гаража, трубных соединений ( 3 шт.) на отводах стояков от магистрали ГВс секция 7а (5-7 подъезды), отводы стояков ХВС, ГВС в кв. 43</v>
      </c>
      <c r="C60" s="177">
        <f>'ОДДС 2011'!C101</f>
        <v>6366.73</v>
      </c>
      <c r="D60" s="4">
        <f>'ОДДС 2011'!C266</f>
        <v>6366.73</v>
      </c>
      <c r="E60" s="4">
        <f t="shared" si="1"/>
        <v>0</v>
      </c>
    </row>
    <row r="61" spans="1:5" ht="51">
      <c r="A61" s="86"/>
      <c r="B61" s="86" t="str">
        <f>'ОДДС 2011'!B102</f>
        <v>сварочные работы по устранению течи теплообменных трубок калорифера приточной вентиляции гаража</v>
      </c>
      <c r="C61" s="177">
        <f>'ОДДС 2011'!C102</f>
        <v>2831.3</v>
      </c>
      <c r="D61" s="4">
        <f>'ОДДС 2011'!C267</f>
        <v>2831.3</v>
      </c>
      <c r="E61" s="4">
        <f t="shared" si="1"/>
        <v>0</v>
      </c>
    </row>
    <row r="62" spans="1:5" ht="76.5">
      <c r="A62" s="86"/>
      <c r="B62" s="86" t="str">
        <f>'ОДДС 2011'!B103</f>
        <v>сварочные работы по замене задвижки Балломакс Ду 80 на контуре ГВС ИТП 7а (3-7 подъезды), трубных соединений (3 шт.) на отводах стояков от магистрали ГВС секция 10 (1-2 подъезды).</v>
      </c>
      <c r="C62" s="177">
        <f>'ОДДС 2011'!C103</f>
        <v>9904.630000000001</v>
      </c>
      <c r="D62" s="4">
        <f>'ОДДС 2011'!C268</f>
        <v>9904.63</v>
      </c>
      <c r="E62" s="4">
        <f t="shared" si="1"/>
        <v>0</v>
      </c>
    </row>
    <row r="63" spans="1:5" ht="63.75">
      <c r="A63" s="86"/>
      <c r="B63" s="86" t="str">
        <f>'ОДДС 2011'!B104</f>
        <v>сварочные работы по установке металлического забора 9 секций, замене трубных соединений стояков в подвале 3-4 подъезд секция 7б (2 шт.)</v>
      </c>
      <c r="C63" s="177">
        <f>'ОДДС 2011'!C104</f>
        <v>5660.14</v>
      </c>
      <c r="D63" s="4">
        <f>'ОДДС 2011'!C269</f>
        <v>5660.14</v>
      </c>
      <c r="E63" s="4">
        <f t="shared" si="1"/>
        <v>0</v>
      </c>
    </row>
    <row r="64" spans="1:5" ht="63.75">
      <c r="A64" s="86"/>
      <c r="B64" s="86" t="str">
        <f>'ОДДС 2011'!B105</f>
        <v>сварочные работы по ремонту и укреплению детской карусели, замене трубных соединений стояков в подвале 1-2 подъезд секция 10 (2 шт.)</v>
      </c>
      <c r="C64" s="177">
        <f>'ОДДС 2011'!C105</f>
        <v>9904.630000000001</v>
      </c>
      <c r="D64" s="4">
        <f>'ОДДС 2011'!C270</f>
        <v>9904.63</v>
      </c>
      <c r="E64" s="4">
        <f t="shared" si="1"/>
        <v>0</v>
      </c>
    </row>
    <row r="65" spans="1:5" ht="63.75">
      <c r="A65" s="86"/>
      <c r="B65" s="86" t="str">
        <f>'ОДДС 2011'!B106</f>
        <v>сварочные работы по замене отводов от стояков в кв. 15 и 18, изготовлению и установке желоба ливневой канализации 2-го подъезда</v>
      </c>
      <c r="C65" s="177">
        <f>'ОДДС 2011'!C106</f>
        <v>8490.21</v>
      </c>
      <c r="D65" s="4">
        <f>'ОДДС 2011'!C271</f>
        <v>8490.21</v>
      </c>
      <c r="E65" s="4">
        <f t="shared" si="1"/>
        <v>0</v>
      </c>
    </row>
    <row r="66" spans="1:5" ht="89.25">
      <c r="A66" s="50"/>
      <c r="B66" s="86" t="str">
        <f>'ОДДС 2011'!B107</f>
        <v>сварочные работы по замене отводов от стояков в кв. 12,132,134,190, переврезка ХВС системы пожаротушения гаража, врезка спускного крана, изготовление 3 металлических столбов для установки в гараже.</v>
      </c>
      <c r="C66" s="177">
        <f>'ОДДС 2011'!C107</f>
        <v>12734.7</v>
      </c>
      <c r="D66" s="4">
        <f>'ОДДС 2011'!C272</f>
        <v>12734.7</v>
      </c>
      <c r="E66" s="4">
        <f t="shared" si="1"/>
        <v>0</v>
      </c>
    </row>
    <row r="67" spans="1:5" ht="89.25">
      <c r="A67" s="50">
        <v>4</v>
      </c>
      <c r="B67" s="86" t="str">
        <f>'ОДДС 2011'!B108</f>
        <v>сварочные работы по замене отводов от стояков в кв.5,19,20,23,25,61,118, ремонт качели, приваривание порога металлических въездных ворот гаража, устранение свища на контуре ХВС в ИТП 7</v>
      </c>
      <c r="C67" s="177">
        <f>'ОДДС 2011'!C108</f>
        <v>15563.53</v>
      </c>
      <c r="D67" s="4">
        <f>'ОДДС 2011'!C273</f>
        <v>15563.53</v>
      </c>
      <c r="E67" s="4">
        <f t="shared" si="1"/>
        <v>0</v>
      </c>
    </row>
    <row r="68" spans="1:5" ht="63.75">
      <c r="A68" s="86"/>
      <c r="B68" s="86" t="str">
        <f>'ОДДС 2011'!B109</f>
        <v>сварочные работы по замене отводов от стояков в кв.6,17,35, обратного клапана насосной ИТП7, участка трубы с задвижкой ИТП 10</v>
      </c>
      <c r="C68" s="177">
        <f>'ОДДС 2011'!C109</f>
        <v>14149.119999999999</v>
      </c>
      <c r="D68" s="4">
        <f>'ОДДС 2011'!C274</f>
        <v>14149.12</v>
      </c>
      <c r="E68" s="4">
        <f t="shared" si="1"/>
        <v>0</v>
      </c>
    </row>
    <row r="69" spans="1:5" ht="15">
      <c r="A69" s="86">
        <v>5</v>
      </c>
      <c r="B69" s="50" t="str">
        <f>'ОДДС 2011'!B110</f>
        <v>Музафаров Р.Ф.</v>
      </c>
      <c r="C69" s="176">
        <f>'ОДДС 2011'!C110</f>
        <v>17715.32</v>
      </c>
      <c r="D69" s="3">
        <f>'ОДДС 2011'!C275</f>
        <v>17715.32</v>
      </c>
      <c r="E69" s="4">
        <f t="shared" si="1"/>
        <v>0</v>
      </c>
    </row>
    <row r="70" spans="1:5" ht="38.25">
      <c r="A70" s="50"/>
      <c r="B70" s="86" t="str">
        <f>'ОДДС 2011'!B111</f>
        <v>замена торсионного механизма и троса автоматических ворот гаража </v>
      </c>
      <c r="C70" s="177">
        <f>'ОДДС 2011'!C111</f>
        <v>9196.8</v>
      </c>
      <c r="D70" s="4">
        <f>'ОДДС 2011'!C276</f>
        <v>9196.8</v>
      </c>
      <c r="E70" s="4">
        <f t="shared" si="1"/>
        <v>0</v>
      </c>
    </row>
    <row r="71" spans="1:5" ht="38.25">
      <c r="A71" s="50"/>
      <c r="B71" s="86" t="str">
        <f>'ОДДС 2011'!B112</f>
        <v>замена ведущей шестерни и ремонт привода автоматических ворот гаража</v>
      </c>
      <c r="C71" s="177">
        <f>'ОДДС 2011'!C112</f>
        <v>7074.5599999999995</v>
      </c>
      <c r="D71" s="4">
        <f>'ОДДС 2011'!C277</f>
        <v>7074.56</v>
      </c>
      <c r="E71" s="4">
        <f t="shared" si="1"/>
        <v>0</v>
      </c>
    </row>
    <row r="72" spans="1:5" ht="25.5">
      <c r="A72" s="50"/>
      <c r="B72" s="86" t="str">
        <f>'ОДДС 2011'!B113</f>
        <v>замена трансформаторапривода автоматических ворот гаража</v>
      </c>
      <c r="C72" s="177">
        <f>'ОДДС 2011'!C113</f>
        <v>1443.9599999999998</v>
      </c>
      <c r="D72" s="4">
        <f>'ОДДС 2011'!C278</f>
        <v>1443.9599999999998</v>
      </c>
      <c r="E72" s="4">
        <f t="shared" si="1"/>
        <v>0</v>
      </c>
    </row>
    <row r="73" spans="1:5" ht="15">
      <c r="A73" s="50">
        <v>6</v>
      </c>
      <c r="B73" s="50" t="str">
        <f>'ОДДС 2011'!B114</f>
        <v>Катаев А.В.</v>
      </c>
      <c r="C73" s="176">
        <f>'ОДДС 2011'!C114</f>
        <v>0</v>
      </c>
      <c r="D73" s="3">
        <f>'ОДДС 2011'!C279</f>
        <v>0</v>
      </c>
      <c r="E73" s="3">
        <f t="shared" si="1"/>
        <v>0</v>
      </c>
    </row>
    <row r="74" spans="1:5" ht="25.5">
      <c r="A74" s="50"/>
      <c r="B74" s="86" t="str">
        <f>'ОДДС 2011'!B115</f>
        <v>замена напольной керамической плитки в подъездах № 7</v>
      </c>
      <c r="C74" s="177">
        <f>'ОДДС 2011'!C115</f>
        <v>0</v>
      </c>
      <c r="D74" s="4">
        <f>'ОДДС 2011'!C280</f>
        <v>0</v>
      </c>
      <c r="E74" s="4">
        <f t="shared" si="1"/>
        <v>0</v>
      </c>
    </row>
    <row r="75" spans="1:5" ht="15">
      <c r="A75" s="50">
        <v>7</v>
      </c>
      <c r="B75" s="50" t="str">
        <f>'ОДДС 2011'!B116</f>
        <v>Мистахов Э. В.</v>
      </c>
      <c r="C75" s="176">
        <f>'ОДДС 2011'!C116</f>
        <v>1414.42</v>
      </c>
      <c r="D75" s="3">
        <f>'ОДДС 2011'!C281</f>
        <v>1414.42</v>
      </c>
      <c r="E75" s="3">
        <f t="shared" si="1"/>
        <v>0</v>
      </c>
    </row>
    <row r="76" spans="1:5" ht="38.25">
      <c r="A76" s="50"/>
      <c r="B76" s="86" t="str">
        <f>'ОДДС 2011'!B117</f>
        <v>сварочные работы по замене труб магистрали подачи ГВС 1 подъезда в секции 10</v>
      </c>
      <c r="C76" s="177">
        <f>'ОДДС 2011'!C117</f>
        <v>1414.42</v>
      </c>
      <c r="D76" s="4">
        <f>'ОДДС 2011'!C282</f>
        <v>1414.42</v>
      </c>
      <c r="E76" s="4">
        <f t="shared" si="1"/>
        <v>0</v>
      </c>
    </row>
    <row r="77" spans="1:5" ht="15">
      <c r="A77" s="50">
        <v>8</v>
      </c>
      <c r="B77" s="50" t="str">
        <f>'ОДДС 2011'!B118</f>
        <v>Ехлаков В.В.</v>
      </c>
      <c r="C77" s="176">
        <f>'ОДДС 2011'!C118</f>
        <v>17687.010000000002</v>
      </c>
      <c r="D77" s="3">
        <f>'ОДДС 2011'!C283</f>
        <v>17687.010000000002</v>
      </c>
      <c r="E77" s="3">
        <f t="shared" si="1"/>
        <v>0</v>
      </c>
    </row>
    <row r="78" spans="1:5" ht="15">
      <c r="A78" s="50"/>
      <c r="B78" s="86" t="str">
        <f>'ОДДС 2011'!B119</f>
        <v>выполнение функций дворника</v>
      </c>
      <c r="C78" s="177">
        <f>'ОДДС 2011'!C119</f>
        <v>17687.010000000002</v>
      </c>
      <c r="D78" s="4">
        <f>'ОДДС 2011'!C284</f>
        <v>17687.010000000002</v>
      </c>
      <c r="E78" s="4">
        <f t="shared" si="1"/>
        <v>0</v>
      </c>
    </row>
    <row r="79" spans="1:5" ht="15">
      <c r="A79" s="50">
        <v>9</v>
      </c>
      <c r="B79" s="50" t="str">
        <f>'ОДДС 2011'!B120</f>
        <v>Подкорытов В.А. </v>
      </c>
      <c r="C79" s="176">
        <f>'ОДДС 2011'!C120</f>
        <v>7122.5599999999995</v>
      </c>
      <c r="D79" s="3">
        <f>'ОДДС 2011'!C285</f>
        <v>7122.56</v>
      </c>
      <c r="E79" s="3">
        <f t="shared" si="1"/>
        <v>0</v>
      </c>
    </row>
    <row r="80" spans="1:5" ht="51">
      <c r="A80" s="86"/>
      <c r="B80" s="86" t="str">
        <f>'ОДДС 2011'!B121</f>
        <v>сварочные работы по ремонту металлических ограждений газонов и детской площадки дома Татищева,92</v>
      </c>
      <c r="C80" s="177">
        <f>'ОДДС 2011'!C121</f>
        <v>7122.5599999999995</v>
      </c>
      <c r="D80" s="4">
        <f>'ОДДС 2011'!C286</f>
        <v>7122.56</v>
      </c>
      <c r="E80" s="4">
        <f t="shared" si="1"/>
        <v>0</v>
      </c>
    </row>
    <row r="81" spans="1:5" ht="15">
      <c r="A81" s="50">
        <v>10</v>
      </c>
      <c r="B81" s="50" t="str">
        <f>'ОДДС 2011'!B122</f>
        <v>Ленский Д.В.</v>
      </c>
      <c r="C81" s="176">
        <f>'ОДДС 2011'!C122</f>
        <v>2971.63</v>
      </c>
      <c r="D81" s="3">
        <f>'ОДДС 2011'!C287</f>
        <v>2971.6299999999997</v>
      </c>
      <c r="E81" s="4">
        <f t="shared" si="1"/>
        <v>0</v>
      </c>
    </row>
    <row r="82" spans="1:5" ht="38.25">
      <c r="A82" s="50"/>
      <c r="B82" s="86" t="str">
        <f>'ОДДС 2011'!B123</f>
        <v>замена автоматического выключателя 380 В на ВРУ электрощитовая №1</v>
      </c>
      <c r="C82" s="177">
        <f>'ОДДС 2011'!C123</f>
        <v>849.3900000000001</v>
      </c>
      <c r="D82" s="4">
        <f>'ОДДС 2011'!C288</f>
        <v>849.39</v>
      </c>
      <c r="E82" s="3">
        <f t="shared" si="1"/>
        <v>0</v>
      </c>
    </row>
    <row r="83" spans="1:5" ht="25.5">
      <c r="A83" s="86"/>
      <c r="B83" s="86" t="str">
        <f>'ОДДС 2011'!B124</f>
        <v>восстановление электропроводки освещения 4 подъезда</v>
      </c>
      <c r="C83" s="177">
        <f>'ОДДС 2011'!C124</f>
        <v>2122.24</v>
      </c>
      <c r="D83" s="4">
        <f>'ОДДС 2011'!C289</f>
        <v>2122.24</v>
      </c>
      <c r="E83" s="4">
        <f t="shared" si="1"/>
        <v>0</v>
      </c>
    </row>
    <row r="84" spans="1:5" ht="15">
      <c r="A84" s="50">
        <v>11</v>
      </c>
      <c r="B84" s="50" t="str">
        <f>'ОДДС 2011'!B125</f>
        <v>Двойнишников А.Г.</v>
      </c>
      <c r="C84" s="176">
        <f>'ОДДС 2011'!C125</f>
        <v>62654.18999999999</v>
      </c>
      <c r="D84" s="3">
        <f>'ОДДС 2011'!C290</f>
        <v>62654.189999999995</v>
      </c>
      <c r="E84" s="4">
        <f>C84-D84</f>
        <v>0</v>
      </c>
    </row>
    <row r="85" spans="1:5" ht="15">
      <c r="A85" s="86"/>
      <c r="B85" s="86" t="str">
        <f>'ОДДС 2011'!B126</f>
        <v>компенсация за авто</v>
      </c>
      <c r="C85" s="177">
        <f>'ОДДС 2011'!C126</f>
        <v>13200</v>
      </c>
      <c r="D85" s="4">
        <f>'ОДДС 2011'!C291</f>
        <v>13200</v>
      </c>
      <c r="E85" s="4">
        <f t="shared" si="1"/>
        <v>0</v>
      </c>
    </row>
    <row r="86" spans="1:5" ht="38.25">
      <c r="A86" s="86"/>
      <c r="B86" s="86" t="str">
        <f>'ОДДС 2011'!B127</f>
        <v>уборка проездов общего пользования подземного гаража пылесосом</v>
      </c>
      <c r="C86" s="177">
        <f>'ОДДС 2011'!C127</f>
        <v>10613.67</v>
      </c>
      <c r="D86" s="4">
        <f>'ОДДС 2011'!C292</f>
        <v>10613.67</v>
      </c>
      <c r="E86" s="4">
        <f t="shared" si="1"/>
        <v>0</v>
      </c>
    </row>
    <row r="87" spans="1:5" ht="38.25">
      <c r="A87" s="50"/>
      <c r="B87" s="86" t="str">
        <f>'ОДДС 2011'!B128</f>
        <v>перенос и установка забора на тротуаре дома Татищева,92 со стороны ул. Сварщиков.</v>
      </c>
      <c r="C87" s="177">
        <f>'ОДДС 2011'!C128</f>
        <v>8490.21</v>
      </c>
      <c r="D87" s="4">
        <f>'ОДДС 2011'!C293</f>
        <v>8490.21</v>
      </c>
      <c r="E87" s="4">
        <f t="shared" si="1"/>
        <v>0</v>
      </c>
    </row>
    <row r="88" spans="1:5" ht="38.25">
      <c r="A88" s="86"/>
      <c r="B88" s="86" t="str">
        <f>'ОДДС 2011'!B129</f>
        <v>замена напольной керамической плитки (керамогранит) в подъезде № 3 площадью 21 кв. м.</v>
      </c>
      <c r="C88" s="177">
        <f>'ОДДС 2011'!C129</f>
        <v>10399.49</v>
      </c>
      <c r="D88" s="4">
        <f>'ОДДС 2011'!C294</f>
        <v>10399.49</v>
      </c>
      <c r="E88" s="4">
        <f t="shared" si="1"/>
        <v>0</v>
      </c>
    </row>
    <row r="89" spans="1:5" ht="38.25">
      <c r="A89" s="50"/>
      <c r="B89" s="86" t="str">
        <f>'ОДДС 2011'!B130</f>
        <v>замена напольной керамической плитки (керамогранит) в подъезде № 4 площадью 16 кв. м.</v>
      </c>
      <c r="C89" s="177">
        <f>'ОДДС 2011'!C130</f>
        <v>7923.95</v>
      </c>
      <c r="D89" s="4">
        <f>'ОДДС 2011'!C295</f>
        <v>7923.95</v>
      </c>
      <c r="E89" s="3">
        <f t="shared" si="1"/>
        <v>0</v>
      </c>
    </row>
    <row r="90" spans="1:5" ht="15">
      <c r="A90" s="50"/>
      <c r="B90" s="86" t="str">
        <f>'ОДДС 2011'!B131</f>
        <v>выполнение функций дворника</v>
      </c>
      <c r="C90" s="177">
        <f>'ОДДС 2011'!C131</f>
        <v>12026.869999999999</v>
      </c>
      <c r="D90" s="4">
        <f>'ОДДС 2011'!C296</f>
        <v>12026.87</v>
      </c>
      <c r="E90" s="4">
        <f t="shared" si="1"/>
        <v>0</v>
      </c>
    </row>
    <row r="91" spans="1:5" ht="15">
      <c r="A91" s="86">
        <v>12</v>
      </c>
      <c r="B91" s="50" t="str">
        <f>'ОДДС 2011'!B132</f>
        <v>Зеленый В.А.</v>
      </c>
      <c r="C91" s="176">
        <f>'ОДДС 2011'!C132</f>
        <v>0</v>
      </c>
      <c r="D91" s="3">
        <f>'ОДДС 2011'!C297</f>
        <v>0</v>
      </c>
      <c r="E91" s="4">
        <f t="shared" si="1"/>
        <v>0</v>
      </c>
    </row>
    <row r="92" spans="1:5" ht="63.75">
      <c r="A92" s="50"/>
      <c r="B92" s="86" t="str">
        <f>'ОДДС 2011'!B133</f>
        <v>замена трубопроводов ГВС Ду32 в подвале 3-7 подъездов, замена запорной арматуры, монтаж циркуляционного насоса, сварочные работы</v>
      </c>
      <c r="C92" s="177">
        <f>'ОДДС 2011'!C133</f>
        <v>0</v>
      </c>
      <c r="D92" s="4">
        <f>'ОДДС 2011'!C298</f>
        <v>0</v>
      </c>
      <c r="E92" s="3">
        <f t="shared" si="1"/>
        <v>0</v>
      </c>
    </row>
    <row r="93" spans="1:5" ht="38.25">
      <c r="A93" s="86"/>
      <c r="B93" s="86" t="str">
        <f>'ОДДС 2011'!B134</f>
        <v>гидропневматическая промывка системы теплопотребления подземного гаража</v>
      </c>
      <c r="C93" s="177">
        <f>'ОДДС 2011'!C134</f>
        <v>0</v>
      </c>
      <c r="D93" s="4">
        <f>'ОДДС 2011'!C299</f>
        <v>0</v>
      </c>
      <c r="E93" s="4">
        <f t="shared" si="1"/>
        <v>0</v>
      </c>
    </row>
    <row r="94" spans="1:5" ht="33.75" customHeight="1">
      <c r="A94" s="50">
        <v>13</v>
      </c>
      <c r="B94" s="50" t="str">
        <f>'ОДДС 2011'!B135</f>
        <v>Катаев А.В.</v>
      </c>
      <c r="C94" s="176">
        <f>'ОДДС 2011'!C135</f>
        <v>4244.490000000001</v>
      </c>
      <c r="D94" s="3">
        <f>'ОДДС 2011'!C300</f>
        <v>4244.49</v>
      </c>
      <c r="E94" s="3">
        <f t="shared" si="1"/>
        <v>0</v>
      </c>
    </row>
    <row r="95" spans="1:5" ht="63.75">
      <c r="A95" s="86"/>
      <c r="B95" s="86" t="str">
        <f>'ОДДС 2011'!B136</f>
        <v>сварочные работы по замене обратного клапана и фильтра на обратной магистрали гвс в итп секция 10, устранение прорыва на калорифере вентиляции гаража</v>
      </c>
      <c r="C95" s="177">
        <f>'ОДДС 2011'!C136</f>
        <v>4244.490000000001</v>
      </c>
      <c r="D95" s="4">
        <f>'ОДДС 2011'!C301</f>
        <v>4244.49</v>
      </c>
      <c r="E95" s="4">
        <f t="shared" si="1"/>
        <v>0</v>
      </c>
    </row>
    <row r="96" spans="1:5" ht="15">
      <c r="A96" s="50">
        <v>14</v>
      </c>
      <c r="B96" s="50" t="str">
        <f>'ОДДС 2011'!B137</f>
        <v>ООО "Инсис"</v>
      </c>
      <c r="C96" s="176">
        <f>'ОДДС 2011'!C137</f>
        <v>3025.43</v>
      </c>
      <c r="D96" s="3">
        <f>'ОДДС 2011'!C302</f>
        <v>2466.09</v>
      </c>
      <c r="E96" s="3">
        <f t="shared" si="1"/>
        <v>559.3399999999997</v>
      </c>
    </row>
    <row r="97" spans="1:5" ht="15">
      <c r="A97" s="86"/>
      <c r="B97" s="86" t="str">
        <f>'ОДДС 2011'!B138</f>
        <v>интернет</v>
      </c>
      <c r="C97" s="177">
        <f>'ОДДС 2011'!C138</f>
        <v>3025.43</v>
      </c>
      <c r="D97" s="4">
        <f>'ОДДС 2011'!C303</f>
        <v>2466.09</v>
      </c>
      <c r="E97" s="4">
        <f t="shared" si="1"/>
        <v>559.3399999999997</v>
      </c>
    </row>
    <row r="98" spans="1:5" ht="15">
      <c r="A98" s="50">
        <v>15</v>
      </c>
      <c r="B98" s="50" t="str">
        <f>'ОДДС 2011'!B139</f>
        <v>ООО "Связь Экспресс"</v>
      </c>
      <c r="C98" s="176">
        <f>'ОДДС 2011'!C139</f>
        <v>41190</v>
      </c>
      <c r="D98" s="3">
        <f>'ОДДС 2011'!C304</f>
        <v>34020</v>
      </c>
      <c r="E98" s="3">
        <f t="shared" si="1"/>
        <v>7170</v>
      </c>
    </row>
    <row r="99" spans="1:5" ht="25.5">
      <c r="A99" s="86"/>
      <c r="B99" s="86" t="str">
        <f>'ОДДС 2011'!B140</f>
        <v>абонентское обслуживание домофона</v>
      </c>
      <c r="C99" s="177">
        <f>'ОДДС 2011'!C140</f>
        <v>41190</v>
      </c>
      <c r="D99" s="4">
        <f>'ОДДС 2011'!C305</f>
        <v>34020</v>
      </c>
      <c r="E99" s="4">
        <f t="shared" si="1"/>
        <v>7170</v>
      </c>
    </row>
    <row r="100" spans="1:5" ht="15">
      <c r="A100" s="50">
        <v>16</v>
      </c>
      <c r="B100" s="50" t="str">
        <f>'ОДДС 2011'!B141</f>
        <v>ООО "Уралфинцентр"</v>
      </c>
      <c r="C100" s="176">
        <f>'ОДДС 2011'!C141</f>
        <v>38784</v>
      </c>
      <c r="D100" s="3">
        <f>'ОДДС 2011'!C306</f>
        <v>38784</v>
      </c>
      <c r="E100" s="3">
        <f t="shared" si="1"/>
        <v>0</v>
      </c>
    </row>
    <row r="101" spans="1:5" ht="25.5">
      <c r="A101" s="86"/>
      <c r="B101" s="86" t="str">
        <f>'ОДДС 2011'!B142</f>
        <v>аренда офиса ТСЖ ( с января по июнь)</v>
      </c>
      <c r="C101" s="177">
        <f>'ОДДС 2011'!C142</f>
        <v>38784</v>
      </c>
      <c r="D101" s="4">
        <f>'ОДДС 2011'!C307</f>
        <v>38784</v>
      </c>
      <c r="E101" s="4">
        <f t="shared" si="1"/>
        <v>0</v>
      </c>
    </row>
    <row r="102" spans="1:5" ht="15">
      <c r="A102" s="50">
        <v>17</v>
      </c>
      <c r="B102" s="50" t="str">
        <f>'ОДДС 2011'!B143</f>
        <v>ООО "Д.А.Р. И К"</v>
      </c>
      <c r="C102" s="176">
        <f>'ОДДС 2011'!C143</f>
        <v>8492</v>
      </c>
      <c r="D102" s="3">
        <f>'ОДДС 2011'!C308</f>
        <v>8492</v>
      </c>
      <c r="E102" s="3">
        <f t="shared" si="1"/>
        <v>0</v>
      </c>
    </row>
    <row r="103" spans="1:5" ht="15">
      <c r="A103" s="86"/>
      <c r="B103" s="173" t="str">
        <f>'ОДДС 2011'!B144</f>
        <v>спецодежда</v>
      </c>
      <c r="C103" s="178">
        <f>'ОДДС 2011'!C144</f>
        <v>8492</v>
      </c>
      <c r="D103" s="174">
        <f>'ОДДС 2011'!C309</f>
        <v>8492</v>
      </c>
      <c r="E103" s="4">
        <f t="shared" si="1"/>
        <v>0</v>
      </c>
    </row>
    <row r="104" spans="1:5" ht="15">
      <c r="A104" s="50">
        <v>18</v>
      </c>
      <c r="B104" s="50" t="str">
        <f>'ОДДС 2011'!B145</f>
        <v>ООО "Интерэнерго"</v>
      </c>
      <c r="C104" s="176">
        <f>'ОДДС 2011'!C145</f>
        <v>361469</v>
      </c>
      <c r="D104" s="3">
        <f>'ОДДС 2011'!C310</f>
        <v>356947</v>
      </c>
      <c r="E104" s="3">
        <f t="shared" si="1"/>
        <v>4522</v>
      </c>
    </row>
    <row r="105" spans="1:5" ht="38.25">
      <c r="A105" s="86"/>
      <c r="B105" s="86" t="str">
        <f>'ОДДС 2011'!B146</f>
        <v>обслуживание системы сбора показаний индивидуальных приборов учета</v>
      </c>
      <c r="C105" s="177">
        <f>'ОДДС 2011'!C146</f>
        <v>299345</v>
      </c>
      <c r="D105" s="4">
        <f>'ОДДС 2011'!C311</f>
        <v>295475</v>
      </c>
      <c r="E105" s="4">
        <f t="shared" si="1"/>
        <v>3870</v>
      </c>
    </row>
    <row r="106" spans="1:5" ht="25.5">
      <c r="A106" s="86"/>
      <c r="B106" s="86" t="str">
        <f>'ОДДС 2011'!B147</f>
        <v>обслуживание общедом. узлов учета теплоэнергии</v>
      </c>
      <c r="C106" s="177">
        <f>'ОДДС 2011'!C147</f>
        <v>60024</v>
      </c>
      <c r="D106" s="4">
        <f>'ОДДС 2011'!C312</f>
        <v>59372</v>
      </c>
      <c r="E106" s="4">
        <f t="shared" si="1"/>
        <v>652</v>
      </c>
    </row>
    <row r="107" spans="1:5" ht="25.5">
      <c r="A107" s="86"/>
      <c r="B107" s="86" t="str">
        <f>'ОДДС 2011'!B148</f>
        <v>метрологическая проверка приборов учета тепловой энергии</v>
      </c>
      <c r="C107" s="177">
        <f>'ОДДС 2011'!C148</f>
        <v>2100</v>
      </c>
      <c r="D107" s="4">
        <f>'ОДДС 2011'!C313</f>
        <v>2100</v>
      </c>
      <c r="E107" s="4">
        <f t="shared" si="1"/>
        <v>0</v>
      </c>
    </row>
    <row r="108" spans="1:5" ht="25.5">
      <c r="A108" s="86"/>
      <c r="B108" s="86" t="str">
        <f>'ОДДС 2011'!B149</f>
        <v>восстановление общедом. узлов учета теплоэнергии </v>
      </c>
      <c r="C108" s="177">
        <f>'ОДДС 2011'!C149</f>
        <v>0</v>
      </c>
      <c r="D108" s="4">
        <f>'ОДДС 2011'!C314</f>
        <v>0</v>
      </c>
      <c r="E108" s="4">
        <f t="shared" si="1"/>
        <v>0</v>
      </c>
    </row>
    <row r="109" spans="1:5" ht="25.5">
      <c r="A109" s="50"/>
      <c r="B109" s="86" t="str">
        <f>'ОДДС 2011'!B150</f>
        <v>2.3.5. Поверка общедомовых приборов учета ТЭКОН, датчиков</v>
      </c>
      <c r="C109" s="177">
        <f>'ОДДС 2011'!C150</f>
        <v>0</v>
      </c>
      <c r="D109" s="4">
        <f>'ОДДС 2011'!C315</f>
        <v>0</v>
      </c>
      <c r="E109" s="4">
        <f t="shared" si="1"/>
        <v>0</v>
      </c>
    </row>
    <row r="110" spans="1:5" ht="25.5">
      <c r="A110" s="86"/>
      <c r="B110" s="86" t="str">
        <f>'ОДДС 2011'!B151</f>
        <v>Выполнение работ по договору № 26-ВПУ от 27.04.2010</v>
      </c>
      <c r="C110" s="177">
        <f>'ОДДС 2011'!C151</f>
        <v>0</v>
      </c>
      <c r="D110" s="4">
        <f>'ОДДС 2011'!C316</f>
        <v>0</v>
      </c>
      <c r="E110" s="4">
        <f t="shared" si="1"/>
        <v>0</v>
      </c>
    </row>
    <row r="111" spans="1:5" ht="15">
      <c r="A111" s="50">
        <v>19</v>
      </c>
      <c r="B111" s="50" t="str">
        <f>'ОДДС 2011'!B152</f>
        <v>ООО "Лифтмонтаж-1"</v>
      </c>
      <c r="C111" s="176">
        <f>'ОДДС 2011'!C152</f>
        <v>363040.62000000005</v>
      </c>
      <c r="D111" s="3">
        <f>'ОДДС 2011'!C317</f>
        <v>385669.62</v>
      </c>
      <c r="E111" s="3">
        <f t="shared" si="1"/>
        <v>-22628.99999999994</v>
      </c>
    </row>
    <row r="112" spans="1:5" ht="25.5">
      <c r="A112" s="50"/>
      <c r="B112" s="86" t="str">
        <f>'ОДДС 2011'!B153</f>
        <v>техобслуживание и ремонт лифтов</v>
      </c>
      <c r="C112" s="177">
        <f>'ОДДС 2011'!C153</f>
        <v>354538.0800000001</v>
      </c>
      <c r="D112" s="4">
        <f>'ОДДС 2011'!C318</f>
        <v>377167.08</v>
      </c>
      <c r="E112" s="4">
        <f t="shared" si="1"/>
        <v>-22628.99999999994</v>
      </c>
    </row>
    <row r="113" spans="1:5" ht="38.25">
      <c r="A113" s="50"/>
      <c r="B113" s="86" t="str">
        <f>'ОДДС 2011'!B154</f>
        <v>Замена подшипника редуктора лебедки главного привода лифта 4 подъезд</v>
      </c>
      <c r="C113" s="177">
        <f>'ОДДС 2011'!C154</f>
        <v>8502.54</v>
      </c>
      <c r="D113" s="4">
        <f>'ОДДС 2011'!C319</f>
        <v>8502.54</v>
      </c>
      <c r="E113" s="4">
        <f t="shared" si="1"/>
        <v>0</v>
      </c>
    </row>
    <row r="114" spans="1:5" ht="25.5">
      <c r="A114" s="50">
        <v>20</v>
      </c>
      <c r="B114" s="50" t="str">
        <f>'ОДДС 2011'!B155</f>
        <v>ООО "Электрические технологии" (лампы, светильники)</v>
      </c>
      <c r="C114" s="176">
        <f>'ОДДС 2011'!C155</f>
        <v>5819</v>
      </c>
      <c r="D114" s="3">
        <f>'ОДДС 2011'!C320</f>
        <v>5819</v>
      </c>
      <c r="E114" s="3">
        <f t="shared" si="1"/>
        <v>0</v>
      </c>
    </row>
    <row r="115" spans="1:5" ht="38.25">
      <c r="A115" s="50">
        <v>21</v>
      </c>
      <c r="B115" s="50" t="str">
        <f>'ОДДС 2011'!B156</f>
        <v>ООО "УИЦ "Союзлифтмонтаж" (техосвидетельствование лифтов)</v>
      </c>
      <c r="C115" s="176">
        <f>'ОДДС 2011'!C156</f>
        <v>11050</v>
      </c>
      <c r="D115" s="3">
        <f>'ОДДС 2011'!C321</f>
        <v>11050</v>
      </c>
      <c r="E115" s="3">
        <f t="shared" si="1"/>
        <v>0</v>
      </c>
    </row>
    <row r="116" spans="1:5" ht="15">
      <c r="A116" s="50">
        <v>22</v>
      </c>
      <c r="B116" s="50" t="str">
        <f>'ОДДС 2011'!B157</f>
        <v>ООО "СВД-Инжиниринг" </v>
      </c>
      <c r="C116" s="176">
        <f>'ОДДС 2011'!C157</f>
        <v>25320</v>
      </c>
      <c r="D116" s="3">
        <f>'ОДДС 2011'!C322</f>
        <v>25320</v>
      </c>
      <c r="E116" s="3">
        <f t="shared" si="1"/>
        <v>0</v>
      </c>
    </row>
    <row r="117" spans="1:5" ht="25.5">
      <c r="A117" s="50"/>
      <c r="B117" s="86" t="str">
        <f>'ОДДС 2011'!B158</f>
        <v>ремонт и обслуживание домофонов</v>
      </c>
      <c r="C117" s="177">
        <f>'ОДДС 2011'!C158</f>
        <v>24150</v>
      </c>
      <c r="D117" s="4">
        <f>'ОДДС 2011'!C323</f>
        <v>24150</v>
      </c>
      <c r="E117" s="4">
        <f aca="true" t="shared" si="2" ref="E117:E179">C117-D117</f>
        <v>0</v>
      </c>
    </row>
    <row r="118" spans="1:5" ht="15">
      <c r="A118" s="50"/>
      <c r="B118" s="86" t="str">
        <f>'ОДДС 2011'!B159</f>
        <v>монтажные работы</v>
      </c>
      <c r="C118" s="177">
        <f>'ОДДС 2011'!C159</f>
        <v>1170</v>
      </c>
      <c r="D118" s="4">
        <f>'ОДДС 2011'!C324</f>
        <v>1170</v>
      </c>
      <c r="E118" s="4">
        <f t="shared" si="2"/>
        <v>0</v>
      </c>
    </row>
    <row r="119" spans="1:5" ht="25.5">
      <c r="A119" s="50">
        <v>23</v>
      </c>
      <c r="B119" s="50" t="str">
        <f>'ОДДС 2011'!B160</f>
        <v>УЖКХ Верх-Исетского района (паспортное обслуживание)</v>
      </c>
      <c r="C119" s="176">
        <f>'ОДДС 2011'!C160</f>
        <v>35409.840000000004</v>
      </c>
      <c r="D119" s="3">
        <f>'ОДДС 2011'!C325</f>
        <v>35409.840000000004</v>
      </c>
      <c r="E119" s="3">
        <f t="shared" si="2"/>
        <v>0</v>
      </c>
    </row>
    <row r="120" spans="1:5" ht="25.5">
      <c r="A120" s="50">
        <v>24</v>
      </c>
      <c r="B120" s="50" t="str">
        <f>'ОДДС 2011'!B161</f>
        <v>ОАО "Русь-Банк-Урал" расчетно-кассовое обслуживание</v>
      </c>
      <c r="C120" s="176">
        <f>'ОДДС 2011'!C161</f>
        <v>19681.699999999997</v>
      </c>
      <c r="D120" s="3">
        <f>'ОДДС 2011'!C326</f>
        <v>19681.699999999997</v>
      </c>
      <c r="E120" s="3">
        <f t="shared" si="2"/>
        <v>0</v>
      </c>
    </row>
    <row r="121" spans="1:5" ht="15">
      <c r="A121" s="86"/>
      <c r="B121" s="86" t="str">
        <f>'ОДДС 2011'!B162</f>
        <v>расчетное обслуживание</v>
      </c>
      <c r="C121" s="177">
        <f>'ОДДС 2011'!C162</f>
        <v>19681.699999999997</v>
      </c>
      <c r="D121" s="4">
        <f>'ОДДС 2011'!C327</f>
        <v>19681.699999999997</v>
      </c>
      <c r="E121" s="4">
        <f t="shared" si="2"/>
        <v>0</v>
      </c>
    </row>
    <row r="122" spans="1:5" ht="15">
      <c r="A122" s="50">
        <v>25</v>
      </c>
      <c r="B122" s="50" t="str">
        <f>'ОДДС 2011'!B163</f>
        <v>ООО "СТЭМ"</v>
      </c>
      <c r="C122" s="176">
        <f>'ОДДС 2011'!C163</f>
        <v>112815.93</v>
      </c>
      <c r="D122" s="3">
        <f>'ОДДС 2011'!C328</f>
        <v>106815.93</v>
      </c>
      <c r="E122" s="3">
        <f t="shared" si="2"/>
        <v>6000</v>
      </c>
    </row>
    <row r="123" spans="1:5" ht="25.5">
      <c r="A123" s="86"/>
      <c r="B123" s="86" t="str">
        <f>'ОДДС 2011'!B164</f>
        <v>Ремонт автоматики пожаротушения и приточной вентиляции</v>
      </c>
      <c r="C123" s="177">
        <f>'ОДДС 2011'!C164</f>
        <v>34709.4</v>
      </c>
      <c r="D123" s="4">
        <f>'ОДДС 2011'!C329</f>
        <v>34709.4</v>
      </c>
      <c r="E123" s="4">
        <f t="shared" si="2"/>
        <v>0</v>
      </c>
    </row>
    <row r="124" spans="1:5" ht="25.5">
      <c r="A124" s="86"/>
      <c r="B124" s="86" t="str">
        <f>'ОДДС 2011'!B165</f>
        <v>Ревизия и замена контакторов АВР</v>
      </c>
      <c r="C124" s="177">
        <f>'ОДДС 2011'!C165</f>
        <v>6000</v>
      </c>
      <c r="D124" s="4">
        <f>'ОДДС 2011'!C330</f>
        <v>0</v>
      </c>
      <c r="E124" s="4">
        <f t="shared" si="2"/>
        <v>6000</v>
      </c>
    </row>
    <row r="125" spans="1:5" ht="63.75">
      <c r="A125" s="86"/>
      <c r="B125" s="86" t="str">
        <f>'ОДДС 2011'!B166</f>
        <v>Восстановительные работы на автоматической системе противодымной защиты (АСПДЗ) и оповещения подземного гаража от превышения концентрации СО</v>
      </c>
      <c r="C125" s="177">
        <f>'ОДДС 2011'!C166</f>
        <v>29706.53</v>
      </c>
      <c r="D125" s="4">
        <f>'ОДДС 2011'!C331</f>
        <v>29706.53</v>
      </c>
      <c r="E125" s="4">
        <f t="shared" si="2"/>
        <v>0</v>
      </c>
    </row>
    <row r="126" spans="1:5" ht="51">
      <c r="A126" s="86"/>
      <c r="B126" s="86" t="str">
        <f>'ОДДС 2011'!B167</f>
        <v>Организация техническое обслуживание автоматической системе противодымной защиты (АСПДЗ) по адресу: ул. Татищева,92</v>
      </c>
      <c r="C126" s="177">
        <f>'ОДДС 2011'!C167</f>
        <v>26400</v>
      </c>
      <c r="D126" s="4">
        <f>'ОДДС 2011'!C332</f>
        <v>26400</v>
      </c>
      <c r="E126" s="4">
        <f t="shared" si="2"/>
        <v>0</v>
      </c>
    </row>
    <row r="127" spans="1:5" ht="76.5">
      <c r="A127" s="50"/>
      <c r="B127" s="86" t="str">
        <f>'ОДДС 2011'!B168</f>
        <v>Работы по ремонту систем пожарной сигнализации (ПС) подземного гаража по ул. Татищева 92 в г.Екатеринбурге и ввод систем в режим технического обслуживания</v>
      </c>
      <c r="C127" s="11">
        <f>'ОДДС 2011'!C168</f>
        <v>0</v>
      </c>
      <c r="D127" s="4">
        <f>'ОДДС 2011'!C333</f>
        <v>0</v>
      </c>
      <c r="E127" s="4">
        <f t="shared" si="2"/>
        <v>0</v>
      </c>
    </row>
    <row r="128" spans="1:5" ht="25.5">
      <c r="A128" s="50"/>
      <c r="B128" s="86" t="str">
        <f>'ОДДС 2011'!B169</f>
        <v>Ячейка электромеханическая 4 шт. на СО СОУ-1, СТГ-1 </v>
      </c>
      <c r="C128" s="177">
        <f>'ОДДС 2011'!C169</f>
        <v>16000</v>
      </c>
      <c r="D128" s="4">
        <f>'ОДДС 2011'!C334</f>
        <v>16000</v>
      </c>
      <c r="E128" s="4">
        <f t="shared" si="2"/>
        <v>0</v>
      </c>
    </row>
    <row r="129" spans="1:5" ht="38.25">
      <c r="A129" s="50">
        <v>26</v>
      </c>
      <c r="B129" s="50" t="str">
        <f>'ОДДС 2011'!B170</f>
        <v>ООО "Единый расчетный центр" услуги оператора по договору о приеме платежей</v>
      </c>
      <c r="C129" s="176">
        <f>'ОДДС 2011'!C170</f>
        <v>1200</v>
      </c>
      <c r="D129" s="3">
        <f>'ОДДС 2011'!C335</f>
        <v>1100</v>
      </c>
      <c r="E129" s="3">
        <f t="shared" si="2"/>
        <v>100</v>
      </c>
    </row>
    <row r="130" spans="1:5" ht="51">
      <c r="A130" s="50">
        <v>27</v>
      </c>
      <c r="B130" s="50" t="str">
        <f>'ОДДС 2011'!B171</f>
        <v>ЗАО "Городская дезинфекционная станция" (санитарная обработка подвалов от грызунов)</v>
      </c>
      <c r="C130" s="176">
        <f>'ОДДС 2011'!C171</f>
        <v>8717.280000000002</v>
      </c>
      <c r="D130" s="3">
        <f>'ОДДС 2011'!C336</f>
        <v>6438.9000000000015</v>
      </c>
      <c r="E130" s="3">
        <f t="shared" si="2"/>
        <v>2278.380000000001</v>
      </c>
    </row>
    <row r="131" spans="1:5" ht="25.5">
      <c r="A131" s="86"/>
      <c r="B131" s="86" t="str">
        <f>'ОДДС 2011'!B172</f>
        <v>(санитарная обработка подвалов от грызунов)</v>
      </c>
      <c r="C131" s="177">
        <f>'ОДДС 2011'!C172</f>
        <v>8717.280000000002</v>
      </c>
      <c r="D131" s="4">
        <f>'ОДДС 2011'!C337</f>
        <v>6438.9000000000015</v>
      </c>
      <c r="E131" s="4">
        <f t="shared" si="2"/>
        <v>2278.380000000001</v>
      </c>
    </row>
    <row r="132" spans="1:5" ht="25.5">
      <c r="A132" s="50"/>
      <c r="B132" s="86" t="str">
        <f>'ОДДС 2011'!B173</f>
        <v>Анализ воды СЭС Роспотребнадзор 2 шт. ( на металлы и общий)</v>
      </c>
      <c r="C132" s="177">
        <f>'ОДДС 2011'!C173</f>
        <v>5317.08</v>
      </c>
      <c r="D132" s="4">
        <f>'ОДДС 2011'!C338</f>
        <v>5317.08</v>
      </c>
      <c r="E132" s="4">
        <f t="shared" si="2"/>
        <v>0</v>
      </c>
    </row>
    <row r="133" spans="1:5" ht="15">
      <c r="A133" s="50">
        <v>28</v>
      </c>
      <c r="B133" s="50" t="str">
        <f>'ОДДС 2011'!B174</f>
        <v>ООО "ПИТ" (инструменты)</v>
      </c>
      <c r="C133" s="176">
        <f>'ОДДС 2011'!C174</f>
        <v>6149</v>
      </c>
      <c r="D133" s="3">
        <f>'ОДДС 2011'!C339</f>
        <v>6738</v>
      </c>
      <c r="E133" s="3">
        <f t="shared" si="2"/>
        <v>-589</v>
      </c>
    </row>
    <row r="134" spans="1:5" ht="38.25">
      <c r="A134" s="50">
        <v>29</v>
      </c>
      <c r="B134" s="50" t="str">
        <f>'ОДДС 2011'!B175</f>
        <v>ООО "ТД "Метаком-Урал" (материалы для ремонта домофона)</v>
      </c>
      <c r="C134" s="176">
        <f>'ОДДС 2011'!C175</f>
        <v>3475</v>
      </c>
      <c r="D134" s="3">
        <f>'ОДДС 2011'!C340</f>
        <v>3475</v>
      </c>
      <c r="E134" s="3">
        <f t="shared" si="2"/>
        <v>0</v>
      </c>
    </row>
    <row r="135" spans="1:5" ht="15">
      <c r="A135" s="50">
        <v>30</v>
      </c>
      <c r="B135" s="50" t="str">
        <f>'ОДДС 2011'!B176</f>
        <v>ООО "Авега" (песок)</v>
      </c>
      <c r="C135" s="176">
        <f>'ОДДС 2011'!C176</f>
        <v>7900.02</v>
      </c>
      <c r="D135" s="3">
        <f>'ОДДС 2011'!C341</f>
        <v>7900.02</v>
      </c>
      <c r="E135" s="3">
        <f t="shared" si="2"/>
        <v>0</v>
      </c>
    </row>
    <row r="136" spans="1:5" ht="25.5">
      <c r="A136" s="50">
        <v>31</v>
      </c>
      <c r="B136" s="50" t="str">
        <f>'ОДДС 2011'!B177</f>
        <v>ООО "Центр Бонус" обновление и сопровождение программ</v>
      </c>
      <c r="C136" s="176">
        <f>'ОДДС 2011'!C177</f>
        <v>8650</v>
      </c>
      <c r="D136" s="3">
        <f>'ОДДС 2011'!C342</f>
        <v>8650</v>
      </c>
      <c r="E136" s="3">
        <f t="shared" si="2"/>
        <v>0</v>
      </c>
    </row>
    <row r="137" spans="1:5" ht="25.5">
      <c r="A137" s="86"/>
      <c r="B137" s="86" t="str">
        <f>'ОДДС 2011'!B178</f>
        <v>Обновление программы "Расчет кварплаты " 212 л/сч </v>
      </c>
      <c r="C137" s="177">
        <f>'ОДДС 2011'!C178</f>
        <v>4700</v>
      </c>
      <c r="D137" s="4">
        <f>'ОДДС 2011'!C343</f>
        <v>4700</v>
      </c>
      <c r="E137" s="4">
        <f t="shared" si="2"/>
        <v>0</v>
      </c>
    </row>
    <row r="138" spans="1:5" ht="25.5">
      <c r="A138" s="50"/>
      <c r="B138" s="86" t="str">
        <f>'ОДДС 2011'!B179</f>
        <v>покупка ПО "Арча" -Учет доходов физических лиц"</v>
      </c>
      <c r="C138" s="177">
        <f>'ОДДС 2011'!C179</f>
        <v>3950</v>
      </c>
      <c r="D138" s="4">
        <f>'ОДДС 2011'!C344</f>
        <v>3950</v>
      </c>
      <c r="E138" s="4">
        <f t="shared" si="2"/>
        <v>0</v>
      </c>
    </row>
    <row r="139" spans="1:5" ht="25.5">
      <c r="A139" s="50"/>
      <c r="B139" s="86" t="str">
        <f>'ОДДС 2011'!B180</f>
        <v>покупка ПО "Учет расчетов и денежных средств" Альфа</v>
      </c>
      <c r="C139" s="177">
        <f>'ОДДС 2011'!C180</f>
        <v>0</v>
      </c>
      <c r="D139" s="4">
        <f>'ОДДС 2011'!C345</f>
        <v>0</v>
      </c>
      <c r="E139" s="4">
        <f t="shared" si="2"/>
        <v>0</v>
      </c>
    </row>
    <row r="140" spans="1:5" ht="25.5">
      <c r="A140" s="50">
        <v>32</v>
      </c>
      <c r="B140" s="50" t="str">
        <f>'ОДДС 2011'!B181</f>
        <v>ООО "Городок" (изделия для детский площадки)</v>
      </c>
      <c r="C140" s="176">
        <f>'ОДДС 2011'!C181</f>
        <v>42220</v>
      </c>
      <c r="D140" s="3">
        <f>'ОДДС 2011'!C346</f>
        <v>42220</v>
      </c>
      <c r="E140" s="3">
        <f t="shared" si="2"/>
        <v>0</v>
      </c>
    </row>
    <row r="141" spans="1:5" ht="25.5">
      <c r="A141" s="50">
        <v>33</v>
      </c>
      <c r="B141" s="50" t="str">
        <f>'ОДДС 2011'!B182</f>
        <v>ООО "Артпожиндустрия" (торсионный механизм)</v>
      </c>
      <c r="C141" s="176">
        <f>'ОДДС 2011'!C182</f>
        <v>12860</v>
      </c>
      <c r="D141" s="3">
        <f>'ОДДС 2011'!C347</f>
        <v>12860</v>
      </c>
      <c r="E141" s="3">
        <f t="shared" si="2"/>
        <v>0</v>
      </c>
    </row>
    <row r="142" spans="1:5" ht="15">
      <c r="A142" s="50">
        <v>34</v>
      </c>
      <c r="B142" s="50" t="str">
        <f>'ОДДС 2011'!B183</f>
        <v>МТС (сотовая связь)</v>
      </c>
      <c r="C142" s="176">
        <f>'ОДДС 2011'!C183</f>
        <v>8633.15</v>
      </c>
      <c r="D142" s="3">
        <f>'ОДДС 2011'!C348</f>
        <v>8455.39</v>
      </c>
      <c r="E142" s="3">
        <f t="shared" si="2"/>
        <v>177.76000000000022</v>
      </c>
    </row>
    <row r="143" spans="1:5" ht="25.5">
      <c r="A143" s="86">
        <v>35</v>
      </c>
      <c r="B143" s="50" t="str">
        <f>'ОДДС 2011'!B184</f>
        <v>ООО "УЗЭТО" электротовары, лампы</v>
      </c>
      <c r="C143" s="176">
        <f>'ОДДС 2011'!C184</f>
        <v>31696.3</v>
      </c>
      <c r="D143" s="3">
        <f>'ОДДС 2011'!C349</f>
        <v>31696.3</v>
      </c>
      <c r="E143" s="3">
        <f t="shared" si="2"/>
        <v>0</v>
      </c>
    </row>
    <row r="144" spans="1:5" ht="25.5">
      <c r="A144" s="50">
        <v>36</v>
      </c>
      <c r="B144" s="50" t="str">
        <f>'ОДДС 2011'!B185</f>
        <v>ООО "СтройАрсенал" (инструмент)</v>
      </c>
      <c r="C144" s="176">
        <f>'ОДДС 2011'!C185</f>
        <v>11816.5</v>
      </c>
      <c r="D144" s="3">
        <f>'ОДДС 2011'!C350</f>
        <v>11816.5</v>
      </c>
      <c r="E144" s="3">
        <f t="shared" si="2"/>
        <v>0</v>
      </c>
    </row>
    <row r="145" spans="1:5" ht="15">
      <c r="A145" s="50"/>
      <c r="B145" s="86" t="str">
        <f>'ОДДС 2011'!B186</f>
        <v>инструмент</v>
      </c>
      <c r="C145" s="177">
        <f>'ОДДС 2011'!C186</f>
        <v>0</v>
      </c>
      <c r="D145" s="4">
        <f>'ОДДС 2011'!C351</f>
        <v>0</v>
      </c>
      <c r="E145" s="4">
        <f t="shared" si="2"/>
        <v>0</v>
      </c>
    </row>
    <row r="146" spans="1:5" ht="15">
      <c r="A146" s="50"/>
      <c r="B146" s="86" t="str">
        <f>'ОДДС 2011'!B187</f>
        <v>керамическая плитка, клей и т.д.</v>
      </c>
      <c r="C146" s="177">
        <f>'ОДДС 2011'!C187</f>
        <v>11816.5</v>
      </c>
      <c r="D146" s="4">
        <f>'ОДДС 2011'!C352</f>
        <v>11816.5</v>
      </c>
      <c r="E146" s="4">
        <f t="shared" si="2"/>
        <v>0</v>
      </c>
    </row>
    <row r="147" spans="1:5" ht="25.5">
      <c r="A147" s="50">
        <v>37</v>
      </c>
      <c r="B147" s="50" t="str">
        <f>'ОДДС 2011'!B188</f>
        <v>ООО "Компания "Экосистема" (Вывоз ТБО)</v>
      </c>
      <c r="C147" s="176">
        <f>'ОДДС 2011'!C188</f>
        <v>151735.22999999998</v>
      </c>
      <c r="D147" s="3">
        <f>'ОДДС 2011'!C353</f>
        <v>168781.59999999998</v>
      </c>
      <c r="E147" s="3">
        <f>C147-D147</f>
        <v>-17046.369999999995</v>
      </c>
    </row>
    <row r="148" spans="1:5" ht="15">
      <c r="A148" s="50">
        <v>38</v>
      </c>
      <c r="B148" s="50" t="str">
        <f>'ОДДС 2011'!B189</f>
        <v>ИП Статнов И.А. (урны 10 шт.)</v>
      </c>
      <c r="C148" s="176">
        <f>'ОДДС 2011'!C189</f>
        <v>23500</v>
      </c>
      <c r="D148" s="3">
        <f>'ОДДС 2011'!C354</f>
        <v>23500</v>
      </c>
      <c r="E148" s="3">
        <f t="shared" si="2"/>
        <v>0</v>
      </c>
    </row>
    <row r="149" spans="1:5" ht="25.5">
      <c r="A149" s="50">
        <v>39</v>
      </c>
      <c r="B149" s="50" t="str">
        <f>'ОДДС 2011'!B190</f>
        <v>ЗАО "УЦСК"Сантехкомплект-Урал" сантехматериалы</v>
      </c>
      <c r="C149" s="176">
        <f>'ОДДС 2011'!C190</f>
        <v>56762.38</v>
      </c>
      <c r="D149" s="3">
        <f>'ОДДС 2011'!C355</f>
        <v>56762.38</v>
      </c>
      <c r="E149" s="3">
        <f t="shared" si="2"/>
        <v>0</v>
      </c>
    </row>
    <row r="150" spans="1:5" ht="15">
      <c r="A150" s="50"/>
      <c r="B150" s="86" t="str">
        <f>'ОДДС 2011'!B191</f>
        <v>сантехматериалы</v>
      </c>
      <c r="C150" s="177">
        <f>'ОДДС 2011'!C191</f>
        <v>35484.479999999996</v>
      </c>
      <c r="D150" s="4">
        <f>'ОДДС 2011'!C356</f>
        <v>35484.479999999996</v>
      </c>
      <c r="E150" s="4">
        <f t="shared" si="2"/>
        <v>0</v>
      </c>
    </row>
    <row r="151" spans="1:5" ht="15">
      <c r="A151" s="50"/>
      <c r="B151" s="86" t="str">
        <f>'ОДДС 2011'!B192</f>
        <v>иструменты</v>
      </c>
      <c r="C151" s="177">
        <f>'ОДДС 2011'!C192</f>
        <v>21277.9</v>
      </c>
      <c r="D151" s="4">
        <f>'ОДДС 2011'!C357</f>
        <v>21277.9</v>
      </c>
      <c r="E151" s="4">
        <f t="shared" si="2"/>
        <v>0</v>
      </c>
    </row>
    <row r="152" spans="1:5" ht="15">
      <c r="A152" s="50">
        <v>40</v>
      </c>
      <c r="B152" s="50" t="str">
        <f>'ОДДС 2011'!B193</f>
        <v>ИП Торицин А.П. (пирометр)</v>
      </c>
      <c r="C152" s="176">
        <f>'ОДДС 2011'!C193</f>
        <v>2700</v>
      </c>
      <c r="D152" s="3">
        <f>'ОДДС 2011'!C358</f>
        <v>2700</v>
      </c>
      <c r="E152" s="3">
        <f t="shared" si="2"/>
        <v>0</v>
      </c>
    </row>
    <row r="153" spans="1:5" ht="25.5">
      <c r="A153" s="50">
        <v>41</v>
      </c>
      <c r="B153" s="50" t="str">
        <f>'ОДДС 2011'!B194</f>
        <v>ИП Чигвинцев С.А. уборка снега техникой</v>
      </c>
      <c r="C153" s="176">
        <f>'ОДДС 2011'!C194</f>
        <v>27500</v>
      </c>
      <c r="D153" s="3">
        <f>'ОДДС 2011'!C359</f>
        <v>27500</v>
      </c>
      <c r="E153" s="3">
        <f t="shared" si="2"/>
        <v>0</v>
      </c>
    </row>
    <row r="154" spans="1:5" ht="38.25">
      <c r="A154" s="50">
        <v>42</v>
      </c>
      <c r="B154" s="50" t="str">
        <f>'ОДДС 2011'!B195</f>
        <v>ООО "ПРОМАЛЬПИНДУСТРИЯ" (Очистка площади кровли от снега)</v>
      </c>
      <c r="C154" s="176">
        <f>'ОДДС 2011'!C195</f>
        <v>28800</v>
      </c>
      <c r="D154" s="3">
        <f>'ОДДС 2011'!C360</f>
        <v>28800</v>
      </c>
      <c r="E154" s="3">
        <f t="shared" si="2"/>
        <v>0</v>
      </c>
    </row>
    <row r="155" spans="1:5" ht="25.5">
      <c r="A155" s="50">
        <v>43</v>
      </c>
      <c r="B155" s="50" t="str">
        <f>'ОДДС 2011'!B196</f>
        <v>ООО "Техника" (материалы для ремонта автоматических ворот"</v>
      </c>
      <c r="C155" s="176">
        <f>'ОДДС 2011'!C196</f>
        <v>3500</v>
      </c>
      <c r="D155" s="3">
        <f>'ОДДС 2011'!C361</f>
        <v>3500</v>
      </c>
      <c r="E155" s="4">
        <f t="shared" si="2"/>
        <v>0</v>
      </c>
    </row>
    <row r="156" spans="1:5" ht="15">
      <c r="A156" s="50">
        <v>44</v>
      </c>
      <c r="B156" s="50" t="str">
        <f>'ОДДС 2011'!B197</f>
        <v>ООО "Предприятие "ТАЭН"</v>
      </c>
      <c r="C156" s="176">
        <f>'ОДДС 2011'!C197</f>
        <v>76040</v>
      </c>
      <c r="D156" s="3">
        <f>'ОДДС 2011'!C362</f>
        <v>82040</v>
      </c>
      <c r="E156" s="3">
        <f t="shared" si="2"/>
        <v>-6000</v>
      </c>
    </row>
    <row r="157" spans="1:5" ht="15">
      <c r="A157" s="50"/>
      <c r="B157" s="86" t="str">
        <f>'ОДДС 2011'!B198</f>
        <v>сантехматериалы</v>
      </c>
      <c r="C157" s="177">
        <f>'ОДДС 2011'!C198</f>
        <v>40040</v>
      </c>
      <c r="D157" s="4">
        <f>'ОДДС 2011'!C363</f>
        <v>40040</v>
      </c>
      <c r="E157" s="4">
        <f t="shared" si="2"/>
        <v>0</v>
      </c>
    </row>
    <row r="158" spans="1:5" ht="38.25">
      <c r="A158" s="50"/>
      <c r="B158" s="86" t="str">
        <f>'ОДДС 2011'!B199</f>
        <v>промывка теплообменников, замена обратных клапанов и зап. арматуры на насосоной станции 7А</v>
      </c>
      <c r="C158" s="177">
        <f>'ОДДС 2011'!C199</f>
        <v>36000</v>
      </c>
      <c r="D158" s="4">
        <f>'ОДДС 2011'!C364</f>
        <v>36000</v>
      </c>
      <c r="E158" s="4">
        <f t="shared" si="2"/>
        <v>0</v>
      </c>
    </row>
    <row r="159" spans="1:5" ht="15">
      <c r="A159" s="50">
        <v>45</v>
      </c>
      <c r="B159" s="50" t="str">
        <f>'ОДДС 2011'!B201</f>
        <v>ООО ТК "Мегаполис" (хозтовары)</v>
      </c>
      <c r="C159" s="176">
        <f>'ОДДС 2011'!C201</f>
        <v>6152.2</v>
      </c>
      <c r="D159" s="3">
        <f>'ОДДС 2011'!C366</f>
        <v>6152.2</v>
      </c>
      <c r="E159" s="3">
        <f t="shared" si="2"/>
        <v>0</v>
      </c>
    </row>
    <row r="160" spans="1:5" ht="25.5">
      <c r="A160" s="50">
        <v>46</v>
      </c>
      <c r="B160" s="50" t="str">
        <f>'ОДДС 2011'!B202</f>
        <v>ООО "Горшкоф-Офис" (канц. товары)</v>
      </c>
      <c r="C160" s="176">
        <f>'ОДДС 2011'!C202</f>
        <v>6770.219999999999</v>
      </c>
      <c r="D160" s="3">
        <f>'ОДДС 2011'!C367</f>
        <v>6770.219999999999</v>
      </c>
      <c r="E160" s="4">
        <f t="shared" si="2"/>
        <v>0</v>
      </c>
    </row>
    <row r="161" spans="1:5" ht="25.5">
      <c r="A161" s="50">
        <v>47</v>
      </c>
      <c r="B161" s="50" t="str">
        <f>'ОДДС 2011'!B203</f>
        <v>ООО "Сберэнерго" (электотовары)</v>
      </c>
      <c r="C161" s="176">
        <f>'ОДДС 2011'!C203</f>
        <v>2950</v>
      </c>
      <c r="D161" s="3">
        <f>'ОДДС 2011'!C368</f>
        <v>2950</v>
      </c>
      <c r="E161" s="3">
        <f t="shared" si="2"/>
        <v>0</v>
      </c>
    </row>
    <row r="162" spans="1:5" ht="15">
      <c r="A162" s="50">
        <v>48</v>
      </c>
      <c r="B162" s="50" t="str">
        <f>'ОДДС 2011'!B204</f>
        <v>ООО "Техпром" </v>
      </c>
      <c r="C162" s="176">
        <f>'ОДДС 2011'!C204</f>
        <v>15000</v>
      </c>
      <c r="D162" s="3">
        <f>'ОДДС 2011'!C369</f>
        <v>15000</v>
      </c>
      <c r="E162" s="3">
        <f t="shared" si="2"/>
        <v>0</v>
      </c>
    </row>
    <row r="163" spans="1:5" ht="15">
      <c r="A163" s="86"/>
      <c r="B163" s="50" t="str">
        <f>'ОДДС 2011'!B205</f>
        <v>ремонт мягкой кровли</v>
      </c>
      <c r="C163" s="176">
        <f>'ОДДС 2011'!C205</f>
        <v>15000</v>
      </c>
      <c r="D163" s="3">
        <f>'ОДДС 2011'!C370</f>
        <v>15000</v>
      </c>
      <c r="E163" s="4">
        <f t="shared" si="2"/>
        <v>0</v>
      </c>
    </row>
    <row r="164" spans="1:5" ht="25.5">
      <c r="A164" s="50">
        <v>49</v>
      </c>
      <c r="B164" s="50" t="str">
        <f>'ОДДС 2011'!B206</f>
        <v>ООО "ВИЗАВИ" аренда зала для проведения общего собрания</v>
      </c>
      <c r="C164" s="176">
        <f>'ОДДС 2011'!C206</f>
        <v>5100</v>
      </c>
      <c r="D164" s="3">
        <f>'ОДДС 2011'!C371</f>
        <v>5100</v>
      </c>
      <c r="E164" s="3">
        <f t="shared" si="2"/>
        <v>0</v>
      </c>
    </row>
    <row r="165" spans="1:5" ht="15">
      <c r="A165" s="50">
        <v>50</v>
      </c>
      <c r="B165" s="50" t="str">
        <f>'ОДДС 2011'!B207</f>
        <v>ООО "Ависта"</v>
      </c>
      <c r="C165" s="176">
        <f>'ОДДС 2011'!C207</f>
        <v>30000</v>
      </c>
      <c r="D165" s="3">
        <f>'ОДДС 2011'!C372</f>
        <v>30000</v>
      </c>
      <c r="E165" s="3">
        <f t="shared" si="2"/>
        <v>0</v>
      </c>
    </row>
    <row r="166" spans="1:5" ht="15">
      <c r="A166" s="50"/>
      <c r="B166" s="86" t="str">
        <f>'ОДДС 2011'!B208</f>
        <v>аудиторская проверка</v>
      </c>
      <c r="C166" s="177">
        <f>'ОДДС 2011'!C208</f>
        <v>30000</v>
      </c>
      <c r="D166" s="4">
        <f>'ОДДС 2011'!C373</f>
        <v>30000</v>
      </c>
      <c r="E166" s="4">
        <f t="shared" si="2"/>
        <v>0</v>
      </c>
    </row>
    <row r="167" spans="1:5" ht="25.5">
      <c r="A167" s="50">
        <v>51</v>
      </c>
      <c r="B167" s="50" t="str">
        <f>'ОДДС 2011'!B209</f>
        <v>ПМК-7 (транспортные услуги и спецтехника)</v>
      </c>
      <c r="C167" s="176">
        <f>'ОДДС 2011'!C209</f>
        <v>25100</v>
      </c>
      <c r="D167" s="3">
        <f>'ОДДС 2011'!C374</f>
        <v>46700</v>
      </c>
      <c r="E167" s="3">
        <f t="shared" si="2"/>
        <v>-21600</v>
      </c>
    </row>
    <row r="168" spans="1:5" ht="15">
      <c r="A168" s="50">
        <v>52</v>
      </c>
      <c r="B168" s="50" t="str">
        <f>'ОДДС 2011'!B210</f>
        <v>ООО "Теплобаланс"</v>
      </c>
      <c r="C168" s="176">
        <f>'ОДДС 2011'!C210</f>
        <v>75000</v>
      </c>
      <c r="D168" s="3">
        <f>'ОДДС 2011'!C375</f>
        <v>67500</v>
      </c>
      <c r="E168" s="3">
        <f t="shared" si="2"/>
        <v>7500</v>
      </c>
    </row>
    <row r="169" spans="1:5" ht="25.5">
      <c r="A169" s="50"/>
      <c r="B169" s="86" t="str">
        <f>'ОДДС 2011'!B211</f>
        <v>Обслуживание автоматики ИТП, ннасосных станций</v>
      </c>
      <c r="C169" s="177">
        <f>'ОДДС 2011'!C211</f>
        <v>75000</v>
      </c>
      <c r="D169" s="4">
        <f>'ОДДС 2011'!C376</f>
        <v>67500</v>
      </c>
      <c r="E169" s="4">
        <f t="shared" si="2"/>
        <v>7500</v>
      </c>
    </row>
    <row r="170" spans="1:5" ht="25.5">
      <c r="A170" s="50">
        <v>53</v>
      </c>
      <c r="B170" s="50" t="str">
        <f>'ОДДС 2011'!B212</f>
        <v>ТСЖ "Наш Дом" (аренда диспетчерской)</v>
      </c>
      <c r="C170" s="176">
        <f>'ОДДС 2011'!C212</f>
        <v>31536</v>
      </c>
      <c r="D170" s="3">
        <f>'ОДДС 2011'!C377</f>
        <v>47304</v>
      </c>
      <c r="E170" s="3">
        <f t="shared" si="2"/>
        <v>-15768</v>
      </c>
    </row>
    <row r="171" spans="1:5" ht="15">
      <c r="A171" s="50">
        <v>54</v>
      </c>
      <c r="B171" s="50" t="str">
        <f>'ОДДС 2011'!B213</f>
        <v>ООО ТД "Арсенал" (ставня)</v>
      </c>
      <c r="C171" s="176">
        <f>'ОДДС 2011'!C213</f>
        <v>11521.46</v>
      </c>
      <c r="D171" s="3">
        <f>'ОДДС 2011'!C378</f>
        <v>11521.46</v>
      </c>
      <c r="E171" s="3">
        <f t="shared" si="2"/>
        <v>0</v>
      </c>
    </row>
    <row r="172" spans="1:5" ht="25.5">
      <c r="A172" s="50">
        <v>55</v>
      </c>
      <c r="B172" s="50" t="str">
        <f>'ОДДС 2011'!B214</f>
        <v>ООО Делтринг" (сантехматериалы)</v>
      </c>
      <c r="C172" s="176">
        <f>'ОДДС 2011'!C214</f>
        <v>32814.3</v>
      </c>
      <c r="D172" s="3">
        <f>'ОДДС 2011'!C379</f>
        <v>36614.3</v>
      </c>
      <c r="E172" s="3">
        <f t="shared" si="2"/>
        <v>-3800</v>
      </c>
    </row>
    <row r="173" spans="1:5" ht="25.5">
      <c r="A173" s="50">
        <v>56</v>
      </c>
      <c r="B173" s="50" t="str">
        <f>'ОДДС 2011'!B215</f>
        <v>ООО "Техпромсервис" (вывоз снега)</v>
      </c>
      <c r="C173" s="176">
        <f>'ОДДС 2011'!C215</f>
        <v>49400</v>
      </c>
      <c r="D173" s="3">
        <f>'ОДДС 2011'!C380</f>
        <v>49400</v>
      </c>
      <c r="E173" s="3">
        <f t="shared" si="2"/>
        <v>0</v>
      </c>
    </row>
    <row r="174" spans="1:5" ht="15">
      <c r="A174" s="50">
        <v>57</v>
      </c>
      <c r="B174" s="50" t="str">
        <f>'ОДДС 2011'!B216</f>
        <v>ООО "Строитель" (щебень, песок)</v>
      </c>
      <c r="C174" s="176">
        <f>'ОДДС 2011'!C216</f>
        <v>11100</v>
      </c>
      <c r="D174" s="3">
        <f>'ОДДС 2011'!C381</f>
        <v>11100</v>
      </c>
      <c r="E174" s="3">
        <f t="shared" si="2"/>
        <v>0</v>
      </c>
    </row>
    <row r="175" spans="1:5" ht="15">
      <c r="A175" s="50">
        <v>58</v>
      </c>
      <c r="B175" s="50" t="str">
        <f>'ОДДС 2011'!B217</f>
        <v>ООО СК "Цюрих Ритейл"</v>
      </c>
      <c r="C175" s="176">
        <f>'ОДДС 2011'!C217</f>
        <v>500</v>
      </c>
      <c r="D175" s="3">
        <f>'ОДДС 2011'!C382</f>
        <v>500</v>
      </c>
      <c r="E175" s="3">
        <f t="shared" si="2"/>
        <v>0</v>
      </c>
    </row>
    <row r="176" spans="1:5" ht="15">
      <c r="A176" s="50">
        <v>59</v>
      </c>
      <c r="B176" s="50" t="str">
        <f>'ОДДС 2011'!B218</f>
        <v>АВАНСОВЫЕ ОТЧЕТЫ</v>
      </c>
      <c r="C176" s="176">
        <f>'ОДДС 2011'!C218</f>
        <v>135421.77</v>
      </c>
      <c r="D176" s="3">
        <f>'ОДДС 2011'!C383</f>
        <v>108874.54999999999</v>
      </c>
      <c r="E176" s="3">
        <f t="shared" si="2"/>
        <v>26547.22</v>
      </c>
    </row>
    <row r="177" spans="1:5" ht="15">
      <c r="A177" s="86"/>
      <c r="B177" s="86" t="str">
        <f>'ОДДС 2011'!B219</f>
        <v>2.2.3. почтовые расходы</v>
      </c>
      <c r="C177" s="177">
        <f>'ОДДС 2011'!C219</f>
        <v>175.65</v>
      </c>
      <c r="D177" s="4">
        <f>'ОДДС 2011'!C384</f>
        <v>175.65</v>
      </c>
      <c r="E177" s="4">
        <f t="shared" si="2"/>
        <v>0</v>
      </c>
    </row>
    <row r="178" spans="1:5" ht="51">
      <c r="A178" s="86"/>
      <c r="B178" s="86" t="str">
        <f>'ОДДС 2011'!B220</f>
        <v>2.2.4. канцелярские расходы, расходные материалы для оргтехники (картриджи, дискеты)(канцелярские расходы)</v>
      </c>
      <c r="C178" s="177">
        <f>'ОДДС 2011'!C220</f>
        <v>1541.1599999999999</v>
      </c>
      <c r="D178" s="4">
        <f>'ОДДС 2011'!C385</f>
        <v>1541.1599999999999</v>
      </c>
      <c r="E178" s="4">
        <f t="shared" si="2"/>
        <v>0</v>
      </c>
    </row>
    <row r="179" spans="1:5" ht="25.5">
      <c r="A179" s="86"/>
      <c r="B179" s="86" t="str">
        <f>'ОДДС 2011'!B221</f>
        <v>приобретение электрозапчастей и ламп</v>
      </c>
      <c r="C179" s="177">
        <f>'ОДДС 2011'!C221</f>
        <v>13000.26</v>
      </c>
      <c r="D179" s="4">
        <f>'ОДДС 2011'!C386</f>
        <v>13000.26</v>
      </c>
      <c r="E179" s="4">
        <f t="shared" si="2"/>
        <v>0</v>
      </c>
    </row>
    <row r="180" spans="1:5" ht="25.5">
      <c r="A180" s="86"/>
      <c r="B180" s="86" t="str">
        <f>'ОДДС 2011'!B222</f>
        <v>2.2.6. госпошлина по искам, нотариус, юридические расходы</v>
      </c>
      <c r="C180" s="177">
        <f>'ОДДС 2011'!C222</f>
        <v>0</v>
      </c>
      <c r="D180" s="4">
        <f>'ОДДС 2011'!C387</f>
        <v>0</v>
      </c>
      <c r="E180" s="4">
        <f aca="true" t="shared" si="3" ref="E180:E205">C180-D180</f>
        <v>0</v>
      </c>
    </row>
    <row r="181" spans="1:5" ht="38.25">
      <c r="A181" s="86"/>
      <c r="B181" s="86" t="str">
        <f>'ОДДС 2011'!B223</f>
        <v>2.7.4. приобретение запчастей, комплектующих, инструмента, хозинвентаря (хозтовары)</v>
      </c>
      <c r="C181" s="177">
        <f>'ОДДС 2011'!C223</f>
        <v>28733.52</v>
      </c>
      <c r="D181" s="4">
        <f>'ОДДС 2011'!C388</f>
        <v>28733.52</v>
      </c>
      <c r="E181" s="4">
        <f t="shared" si="3"/>
        <v>0</v>
      </c>
    </row>
    <row r="182" spans="1:5" ht="38.25">
      <c r="A182" s="86"/>
      <c r="B182" s="86" t="str">
        <f>'ОДДС 2011'!B224</f>
        <v>приобретение запчастей, комплектующих, инструмента, хозинвентаря (инструмент и МБП)</v>
      </c>
      <c r="C182" s="177">
        <f>'ОДДС 2011'!C224</f>
        <v>35353.18</v>
      </c>
      <c r="D182" s="4">
        <f>'ОДДС 2011'!C389</f>
        <v>35353.18</v>
      </c>
      <c r="E182" s="4">
        <f t="shared" si="3"/>
        <v>0</v>
      </c>
    </row>
    <row r="183" spans="1:5" ht="38.25">
      <c r="A183" s="86"/>
      <c r="B183" s="86" t="str">
        <f>'ОДДС 2011'!B225</f>
        <v>непредвиденные расходы на ремонты, замену оборудования (клей, затирка, керамогранит)</v>
      </c>
      <c r="C183" s="177">
        <f>'ОДДС 2011'!C225</f>
        <v>745</v>
      </c>
      <c r="D183" s="4">
        <f>'ОДДС 2011'!C390</f>
        <v>745</v>
      </c>
      <c r="E183" s="4">
        <f t="shared" si="3"/>
        <v>0</v>
      </c>
    </row>
    <row r="184" spans="1:5" ht="38.25">
      <c r="A184" s="86"/>
      <c r="B184" s="86" t="str">
        <f>'ОДДС 2011'!B226</f>
        <v>устранение поломок (двери, окна, доводчики, ручки, светильники и т.д.)(войлок, защелки, шпингалеты)</v>
      </c>
      <c r="C184" s="177">
        <f>'ОДДС 2011'!C226</f>
        <v>2370</v>
      </c>
      <c r="D184" s="4">
        <f>'ОДДС 2011'!C391</f>
        <v>2370</v>
      </c>
      <c r="E184" s="4">
        <f t="shared" si="3"/>
        <v>0</v>
      </c>
    </row>
    <row r="185" spans="1:5" ht="51">
      <c r="A185" s="86"/>
      <c r="B185" s="86" t="str">
        <f>'ОДДС 2011'!B227</f>
        <v>канцелярские расходы, расходные материалы для оргтехники (картриджи, дискеты)(оргтехника (ПК, МФУ, картриджи)</v>
      </c>
      <c r="C185" s="177">
        <f>'ОДДС 2011'!C227</f>
        <v>4250</v>
      </c>
      <c r="D185" s="4">
        <f>'ОДДС 2011'!C392</f>
        <v>4250</v>
      </c>
      <c r="E185" s="4">
        <f t="shared" si="3"/>
        <v>0</v>
      </c>
    </row>
    <row r="186" spans="1:5" ht="38.25">
      <c r="A186" s="86"/>
      <c r="B186" s="86" t="str">
        <f>'ОДДС 2011'!B228</f>
        <v>2.7.4. приобретение запчастей, комплектующих, инструмента, хозинвентаря(сантехматериалы)</v>
      </c>
      <c r="C186" s="177">
        <f>'ОДДС 2011'!C228</f>
        <v>49253</v>
      </c>
      <c r="D186" s="4">
        <f>'ОДДС 2011'!C393</f>
        <v>49253</v>
      </c>
      <c r="E186" s="4">
        <f t="shared" si="3"/>
        <v>0</v>
      </c>
    </row>
    <row r="187" spans="1:5" ht="15">
      <c r="A187" s="86"/>
      <c r="B187" s="86" t="str">
        <f>'ОДДС 2011'!B229</f>
        <v>замена труб ГВС (вне плана)</v>
      </c>
      <c r="C187" s="177">
        <f>'ОДДС 2011'!C229</f>
        <v>0</v>
      </c>
      <c r="D187" s="4">
        <f>'ОДДС 2011'!C394</f>
        <v>0</v>
      </c>
      <c r="E187" s="4">
        <f t="shared" si="3"/>
        <v>0</v>
      </c>
    </row>
    <row r="188" spans="1:5" ht="25.5">
      <c r="A188" s="86"/>
      <c r="B188" s="86" t="str">
        <f>'ОДДС 2011'!B230</f>
        <v>2.7.3. ремонт помещения мастерской ТСЖ у 1-го подъезда</v>
      </c>
      <c r="C188" s="177">
        <f>'ОДДС 2011'!C230</f>
        <v>0</v>
      </c>
      <c r="D188" s="4">
        <f>'ОДДС 2011'!C395</f>
        <v>0</v>
      </c>
      <c r="E188" s="4">
        <f t="shared" si="3"/>
        <v>0</v>
      </c>
    </row>
    <row r="189" spans="1:5" ht="25.5">
      <c r="A189" s="86"/>
      <c r="B189" s="86" t="str">
        <f>'ОДДС 2011'!B231</f>
        <v>транспортные расходы по завозу земли</v>
      </c>
      <c r="C189" s="177">
        <f>'ОДДС 2011'!C231</f>
        <v>0</v>
      </c>
      <c r="D189" s="4">
        <f>'ОДДС 2011'!C396</f>
        <v>0</v>
      </c>
      <c r="E189" s="4">
        <f t="shared" si="3"/>
        <v>0</v>
      </c>
    </row>
    <row r="190" spans="1:5" ht="38.25">
      <c r="A190" s="86"/>
      <c r="B190" s="86" t="str">
        <f>'ОДДС 2011'!B232</f>
        <v>2.7.5. непредвиденные расходы (ликвидация аварий и т.д.)(сантехматериалы)</v>
      </c>
      <c r="C190" s="177">
        <f>'ОДДС 2011'!C232</f>
        <v>0</v>
      </c>
      <c r="D190" s="4">
        <f>'ОДДС 2011'!C397</f>
        <v>0</v>
      </c>
      <c r="E190" s="4">
        <f t="shared" si="3"/>
        <v>0</v>
      </c>
    </row>
    <row r="191" spans="1:5" ht="15">
      <c r="A191" s="86"/>
      <c r="B191" s="86" t="str">
        <f>'ОДДС 2011'!B233</f>
        <v>2.8.1. прокос газонов (леска)</v>
      </c>
      <c r="C191" s="177">
        <f>'ОДДС 2011'!C233</f>
        <v>0</v>
      </c>
      <c r="D191" s="4">
        <f>'ОДДС 2011'!C398</f>
        <v>0</v>
      </c>
      <c r="E191" s="4">
        <f t="shared" si="3"/>
        <v>0</v>
      </c>
    </row>
    <row r="192" spans="1:5" ht="25.5">
      <c r="A192" s="86"/>
      <c r="B192" s="86" t="str">
        <f>'ОДДС 2011'!B234</f>
        <v>2.8.2. ремонт, покраска детской площадки</v>
      </c>
      <c r="C192" s="177">
        <f>'ОДДС 2011'!C234</f>
        <v>0</v>
      </c>
      <c r="D192" s="4">
        <f>'ОДДС 2011'!C399</f>
        <v>0</v>
      </c>
      <c r="E192" s="4">
        <f t="shared" si="3"/>
        <v>0</v>
      </c>
    </row>
    <row r="193" spans="1:5" ht="25.5">
      <c r="A193" s="86"/>
      <c r="B193" s="86" t="str">
        <f>'ОДДС 2011'!B235</f>
        <v>2.8.3. озеленение двора (высадка кустарников)</v>
      </c>
      <c r="C193" s="177">
        <f>'ОДДС 2011'!C235</f>
        <v>0</v>
      </c>
      <c r="D193" s="4">
        <f>'ОДДС 2011'!C400</f>
        <v>0</v>
      </c>
      <c r="E193" s="4">
        <f t="shared" si="3"/>
        <v>0</v>
      </c>
    </row>
    <row r="194" spans="1:5" ht="15">
      <c r="A194" s="86"/>
      <c r="B194" s="86" t="str">
        <f>'ОДДС 2011'!B236</f>
        <v>2.8.5. завоз песка, земли, отсева</v>
      </c>
      <c r="C194" s="177">
        <f>'ОДДС 2011'!C236</f>
        <v>0</v>
      </c>
      <c r="D194" s="4">
        <f>'ОДДС 2011'!C401</f>
        <v>0</v>
      </c>
      <c r="E194" s="4">
        <f t="shared" si="3"/>
        <v>0</v>
      </c>
    </row>
    <row r="195" spans="1:5" ht="38.25">
      <c r="A195" s="50"/>
      <c r="B195" s="86" t="str">
        <f>'ОДДС 2011'!B237</f>
        <v>2.10.2. реконструкция общедомовых узлов учета теплоэнергии согласно нового проекта</v>
      </c>
      <c r="C195" s="177">
        <f>'ОДДС 2011'!C237</f>
        <v>0</v>
      </c>
      <c r="D195" s="4">
        <f>'ОДДС 2011'!C402</f>
        <v>0</v>
      </c>
      <c r="E195" s="4">
        <f t="shared" si="3"/>
        <v>0</v>
      </c>
    </row>
    <row r="196" spans="1:5" ht="38.25">
      <c r="A196" s="50"/>
      <c r="B196" s="86" t="str">
        <f>'ОДДС 2011'!B238</f>
        <v>2.10.6. установка заборов на тротуаре на въезде во двор с ул. Сварщиков, на газоне у аптеки  </v>
      </c>
      <c r="C196" s="177">
        <f>'ОДДС 2011'!C238</f>
        <v>0</v>
      </c>
      <c r="D196" s="4">
        <f>'ОДДС 2011'!C403</f>
        <v>0</v>
      </c>
      <c r="E196" s="4">
        <f t="shared" si="3"/>
        <v>0</v>
      </c>
    </row>
    <row r="197" spans="1:5" ht="15">
      <c r="A197" s="50"/>
      <c r="B197" s="86" t="str">
        <f>'ОДДС 2011'!B239</f>
        <v>на подотчете</v>
      </c>
      <c r="C197" s="177">
        <f>'ОДДС 2011'!C239</f>
        <v>0</v>
      </c>
      <c r="D197" s="4">
        <f>'ОДДС 2011'!C404</f>
        <v>-26547.22</v>
      </c>
      <c r="E197" s="4">
        <f t="shared" si="3"/>
        <v>26547.22</v>
      </c>
    </row>
    <row r="198" spans="1:5" ht="15">
      <c r="A198" s="50">
        <v>60</v>
      </c>
      <c r="B198" s="50" t="str">
        <f>'ОДДС 2011'!B240</f>
        <v>госпошлина</v>
      </c>
      <c r="C198" s="176">
        <f>'ОДДС 2011'!C240</f>
        <v>2400</v>
      </c>
      <c r="D198" s="3">
        <f>'ОДДС 2011'!C405</f>
        <v>2400</v>
      </c>
      <c r="E198" s="3">
        <f t="shared" si="3"/>
        <v>0</v>
      </c>
    </row>
    <row r="199" spans="1:5" ht="15">
      <c r="A199" s="50">
        <v>61</v>
      </c>
      <c r="B199" s="50" t="str">
        <f>'ОДДС 2011'!B241</f>
        <v>Налог на УСН</v>
      </c>
      <c r="C199" s="176">
        <f>'ОДДС 2011'!C241</f>
        <v>19281</v>
      </c>
      <c r="D199" s="3">
        <f>'ОДДС 2011'!C406</f>
        <v>19281</v>
      </c>
      <c r="E199" s="3">
        <f t="shared" si="3"/>
        <v>0</v>
      </c>
    </row>
    <row r="200" spans="1:5" ht="15">
      <c r="A200" s="50">
        <v>62</v>
      </c>
      <c r="B200" s="50" t="str">
        <f>'ОДДС 2011'!B242</f>
        <v>ЕМУП "Спецавтобаза"</v>
      </c>
      <c r="C200" s="52">
        <f>'ОДДС 2011'!C242</f>
        <v>0</v>
      </c>
      <c r="D200" s="3">
        <f>'ОДДС 2011'!C407</f>
        <v>0</v>
      </c>
      <c r="E200" s="3">
        <f t="shared" si="3"/>
        <v>0</v>
      </c>
    </row>
    <row r="201" spans="1:5" ht="15">
      <c r="A201" s="50">
        <v>63</v>
      </c>
      <c r="B201" s="50" t="str">
        <f>'ОДДС 2011'!B243</f>
        <v>МУП "Водоканал"</v>
      </c>
      <c r="C201" s="52">
        <f>'ОДДС 2011'!C243</f>
        <v>1060804.96</v>
      </c>
      <c r="D201" s="3">
        <f>'ОДДС 2011'!C408</f>
        <v>1046935.9699999999</v>
      </c>
      <c r="E201" s="3">
        <f t="shared" si="3"/>
        <v>13868.990000000107</v>
      </c>
    </row>
    <row r="202" spans="1:5" ht="15">
      <c r="A202" s="50">
        <v>64</v>
      </c>
      <c r="B202" s="50" t="str">
        <f>'ОДДС 2011'!B244</f>
        <v>ОАО "МК "Уралметпром"</v>
      </c>
      <c r="C202" s="52">
        <f>'ОДДС 2011'!C244</f>
        <v>1375246.9299999997</v>
      </c>
      <c r="D202" s="3">
        <f>'ОДДС 2011'!C409</f>
        <v>1908713.0699999998</v>
      </c>
      <c r="E202" s="3">
        <f t="shared" si="3"/>
        <v>-533466.1400000001</v>
      </c>
    </row>
    <row r="203" spans="1:5" ht="15">
      <c r="A203" s="50">
        <v>65</v>
      </c>
      <c r="B203" s="50" t="str">
        <f>'ОДДС 2011'!B245</f>
        <v>ОАО "Екатеринбургэнергосбыт"</v>
      </c>
      <c r="C203" s="52">
        <f>'ОДДС 2011'!C245</f>
        <v>2339026.39</v>
      </c>
      <c r="D203" s="3">
        <f>'ОДДС 2011'!C410</f>
        <v>2281572.74</v>
      </c>
      <c r="E203" s="3">
        <f t="shared" si="3"/>
        <v>57453.64999999991</v>
      </c>
    </row>
    <row r="204" spans="1:5" ht="15">
      <c r="A204" s="49">
        <v>66</v>
      </c>
      <c r="B204" s="29" t="s">
        <v>419</v>
      </c>
      <c r="C204" s="176">
        <f>'ОДДС 2011'!C246</f>
        <v>21000</v>
      </c>
      <c r="D204" s="3">
        <f>'ОДДС 2011'!C411</f>
        <v>10500</v>
      </c>
      <c r="E204" s="3">
        <f t="shared" si="3"/>
        <v>10500</v>
      </c>
    </row>
    <row r="205" spans="1:5" ht="25.5">
      <c r="A205" s="48"/>
      <c r="B205" s="86" t="s">
        <v>424</v>
      </c>
      <c r="C205" s="177">
        <f>'ОДДС 2011'!C247</f>
        <v>21000</v>
      </c>
      <c r="D205" s="4">
        <f>'ОДДС 2011'!C412</f>
        <v>10500</v>
      </c>
      <c r="E205" s="4">
        <f t="shared" si="3"/>
        <v>10500</v>
      </c>
    </row>
    <row r="206" spans="1:5" ht="15">
      <c r="A206" s="49">
        <v>6</v>
      </c>
      <c r="B206" s="49" t="s">
        <v>246</v>
      </c>
      <c r="C206" s="11">
        <f>'ОДДС 2011'!C250</f>
        <v>0</v>
      </c>
      <c r="D206" s="4">
        <f>'ОДДС 2011'!C414</f>
        <v>11014.14</v>
      </c>
      <c r="E206" s="90"/>
    </row>
    <row r="207" spans="1:5" ht="15">
      <c r="A207" s="175"/>
      <c r="B207" s="175"/>
      <c r="C207" s="179"/>
      <c r="D207" s="90"/>
      <c r="E207" s="90"/>
    </row>
    <row r="208" spans="1:5" ht="15">
      <c r="A208" s="26"/>
      <c r="B208" s="102"/>
      <c r="C208" s="180"/>
      <c r="D208" s="84"/>
      <c r="E208" s="84"/>
    </row>
    <row r="209" spans="1:5" s="91" customFormat="1" ht="15">
      <c r="A209" s="89"/>
      <c r="B209" s="87"/>
      <c r="C209" s="88">
        <f>SUMIF($A$47:$A$204,"&lt;&gt;",C47:C204)</f>
        <v>8756669.21</v>
      </c>
      <c r="D209" s="88">
        <f>SUMIF($A$47:$A$204,"&lt;&gt;",D47:D204)</f>
        <v>9240890.38</v>
      </c>
      <c r="E209" s="84">
        <f>D209-C209</f>
        <v>484221.1699999999</v>
      </c>
    </row>
    <row r="210" spans="1:5" s="91" customFormat="1" ht="15">
      <c r="A210" s="89"/>
      <c r="C210" s="88"/>
      <c r="D210" s="90"/>
      <c r="E210" s="87"/>
    </row>
    <row r="211" spans="1:6" s="91" customFormat="1" ht="15">
      <c r="A211" s="89"/>
      <c r="B211" s="18"/>
      <c r="C211" s="27"/>
      <c r="D211" s="92"/>
      <c r="E211" s="27"/>
      <c r="F211" s="93"/>
    </row>
    <row r="212" spans="2:5" ht="15">
      <c r="B212" s="18"/>
      <c r="C212" s="8"/>
      <c r="D212" s="8"/>
      <c r="E212" s="8"/>
    </row>
    <row r="213" spans="2:5" ht="15">
      <c r="B213" s="94"/>
      <c r="C213" s="95"/>
      <c r="D213" s="95"/>
      <c r="E213" s="8"/>
    </row>
    <row r="214" spans="2:4" ht="15">
      <c r="B214" s="96"/>
      <c r="C214" s="97"/>
      <c r="D214" s="97"/>
    </row>
    <row r="215" spans="2:4" ht="15">
      <c r="B215" s="96"/>
      <c r="C215" s="96"/>
      <c r="D215" s="96"/>
    </row>
    <row r="216" spans="2:4" ht="15">
      <c r="B216" s="98"/>
      <c r="C216" s="97"/>
      <c r="D216" s="97"/>
    </row>
    <row r="217" spans="2:4" ht="15">
      <c r="B217" s="98"/>
      <c r="C217" s="97"/>
      <c r="D217" s="97"/>
    </row>
    <row r="218" spans="2:4" ht="15">
      <c r="B218" s="98"/>
      <c r="C218" s="97"/>
      <c r="D218" s="97"/>
    </row>
    <row r="219" spans="2:5" ht="15">
      <c r="B219" s="96"/>
      <c r="C219" s="97"/>
      <c r="D219" s="97"/>
      <c r="E219" s="20"/>
    </row>
    <row r="220" spans="2:4" ht="15">
      <c r="B220" s="99"/>
      <c r="C220" s="100"/>
      <c r="D220" s="101"/>
    </row>
    <row r="221" spans="2:4" ht="15">
      <c r="B221" s="96"/>
      <c r="C221" s="91"/>
      <c r="D221" s="97"/>
    </row>
    <row r="222" spans="2:4" ht="15">
      <c r="B222" s="96"/>
      <c r="C222" s="91"/>
      <c r="D222" s="97"/>
    </row>
    <row r="223" spans="2:4" ht="15">
      <c r="B223" s="96"/>
      <c r="C223" s="91"/>
      <c r="D223" s="97"/>
    </row>
    <row r="224" spans="2:4" ht="15">
      <c r="B224" s="96"/>
      <c r="C224" s="91"/>
      <c r="D224" s="97"/>
    </row>
    <row r="225" spans="2:4" ht="15">
      <c r="B225" s="96"/>
      <c r="C225" s="91"/>
      <c r="D225" s="97"/>
    </row>
    <row r="226" spans="2:4" ht="15">
      <c r="B226" s="96"/>
      <c r="C226" s="91"/>
      <c r="D226" s="97"/>
    </row>
  </sheetData>
  <sheetProtection/>
  <autoFilter ref="A46:F211"/>
  <mergeCells count="1">
    <mergeCell ref="B1:D1"/>
  </mergeCells>
  <printOptions/>
  <pageMargins left="0.7086614173228347" right="0.7086614173228347" top="0.35433070866141736" bottom="0.15748031496062992" header="0.31496062992125984" footer="0.31496062992125984"/>
  <pageSetup fitToHeight="6" fitToWidth="1" horizontalDpi="600" verticalDpi="600" orientation="portrait" paperSize="9" scale="91" r:id="rId3"/>
  <legacyDrawing r:id="rId2"/>
</worksheet>
</file>

<file path=xl/worksheets/sheet3.xml><?xml version="1.0" encoding="utf-8"?>
<worksheet xmlns="http://schemas.openxmlformats.org/spreadsheetml/2006/main" xmlns:r="http://schemas.openxmlformats.org/officeDocument/2006/relationships">
  <dimension ref="A2:P35"/>
  <sheetViews>
    <sheetView zoomScalePageLayoutView="0" workbookViewId="0" topLeftCell="A10">
      <selection activeCell="P3" sqref="P3"/>
    </sheetView>
  </sheetViews>
  <sheetFormatPr defaultColWidth="9.140625" defaultRowHeight="15"/>
  <cols>
    <col min="1" max="1" width="34.00390625" style="0" customWidth="1"/>
    <col min="2" max="2" width="16.00390625" style="0" customWidth="1"/>
    <col min="3" max="3" width="10.7109375" style="0" customWidth="1"/>
    <col min="16" max="16" width="17.140625" style="0" customWidth="1"/>
  </cols>
  <sheetData>
    <row r="2" spans="1:16" ht="29.25" customHeight="1">
      <c r="A2" s="1" t="s">
        <v>61</v>
      </c>
      <c r="B2" s="1" t="s">
        <v>135</v>
      </c>
      <c r="C2" s="2" t="s">
        <v>1</v>
      </c>
      <c r="D2" s="2" t="s">
        <v>2</v>
      </c>
      <c r="E2" s="2" t="s">
        <v>3</v>
      </c>
      <c r="F2" s="2" t="s">
        <v>4</v>
      </c>
      <c r="G2" s="2" t="s">
        <v>5</v>
      </c>
      <c r="H2" s="2" t="s">
        <v>6</v>
      </c>
      <c r="I2" s="2" t="s">
        <v>7</v>
      </c>
      <c r="J2" s="2" t="s">
        <v>8</v>
      </c>
      <c r="K2" s="2" t="s">
        <v>9</v>
      </c>
      <c r="L2" s="2" t="s">
        <v>10</v>
      </c>
      <c r="M2" s="2" t="s">
        <v>11</v>
      </c>
      <c r="N2" s="2" t="s">
        <v>12</v>
      </c>
      <c r="O2" s="2" t="s">
        <v>13</v>
      </c>
      <c r="P2" s="62" t="s">
        <v>233</v>
      </c>
    </row>
    <row r="3" spans="1:16" ht="15">
      <c r="A3" s="7" t="s">
        <v>62</v>
      </c>
      <c r="B3" s="61"/>
      <c r="C3" s="3">
        <f aca="true" t="shared" si="0" ref="C3:C16">SUM(D3:O3)</f>
        <v>12000</v>
      </c>
      <c r="D3" s="4">
        <v>1000</v>
      </c>
      <c r="E3" s="4">
        <v>1000</v>
      </c>
      <c r="F3" s="4">
        <v>1000</v>
      </c>
      <c r="G3" s="4">
        <v>1000</v>
      </c>
      <c r="H3" s="4">
        <v>1000</v>
      </c>
      <c r="I3" s="4">
        <v>1000</v>
      </c>
      <c r="J3" s="4">
        <v>1000</v>
      </c>
      <c r="K3" s="4">
        <v>1000</v>
      </c>
      <c r="L3" s="4">
        <v>1000</v>
      </c>
      <c r="M3" s="4">
        <v>1000</v>
      </c>
      <c r="N3" s="4">
        <v>1000</v>
      </c>
      <c r="O3" s="4">
        <v>1000</v>
      </c>
      <c r="P3" s="19">
        <f aca="true" t="shared" si="1" ref="P3:P10">C3+B3-C21</f>
        <v>3000</v>
      </c>
    </row>
    <row r="4" spans="1:16" ht="15">
      <c r="A4" s="7" t="s">
        <v>67</v>
      </c>
      <c r="B4" s="61"/>
      <c r="C4" s="3">
        <f t="shared" si="0"/>
        <v>12000</v>
      </c>
      <c r="D4" s="4">
        <v>1000</v>
      </c>
      <c r="E4" s="4">
        <v>1000</v>
      </c>
      <c r="F4" s="4">
        <v>1000</v>
      </c>
      <c r="G4" s="4">
        <v>1000</v>
      </c>
      <c r="H4" s="4">
        <v>1000</v>
      </c>
      <c r="I4" s="4">
        <v>1000</v>
      </c>
      <c r="J4" s="4">
        <v>1000</v>
      </c>
      <c r="K4" s="4">
        <v>1000</v>
      </c>
      <c r="L4" s="4">
        <v>1000</v>
      </c>
      <c r="M4" s="4">
        <v>1000</v>
      </c>
      <c r="N4" s="4">
        <v>1000</v>
      </c>
      <c r="O4" s="4">
        <v>1000</v>
      </c>
      <c r="P4" s="19">
        <f t="shared" si="1"/>
        <v>0</v>
      </c>
    </row>
    <row r="5" spans="1:16" ht="15">
      <c r="A5" s="7" t="s">
        <v>63</v>
      </c>
      <c r="B5" s="61">
        <v>2000</v>
      </c>
      <c r="C5" s="3">
        <f t="shared" si="0"/>
        <v>36000</v>
      </c>
      <c r="D5" s="4">
        <v>3000</v>
      </c>
      <c r="E5" s="4">
        <v>3000</v>
      </c>
      <c r="F5" s="4">
        <v>3000</v>
      </c>
      <c r="G5" s="4">
        <v>3000</v>
      </c>
      <c r="H5" s="4">
        <v>3000</v>
      </c>
      <c r="I5" s="4">
        <v>3000</v>
      </c>
      <c r="J5" s="4">
        <v>3000</v>
      </c>
      <c r="K5" s="4">
        <v>3000</v>
      </c>
      <c r="L5" s="4">
        <v>3000</v>
      </c>
      <c r="M5" s="4">
        <v>3000</v>
      </c>
      <c r="N5" s="4">
        <v>3000</v>
      </c>
      <c r="O5" s="4">
        <v>3000</v>
      </c>
      <c r="P5" s="19">
        <f t="shared" si="1"/>
        <v>3000</v>
      </c>
    </row>
    <row r="6" spans="1:16" ht="26.25">
      <c r="A6" s="7" t="s">
        <v>64</v>
      </c>
      <c r="B6" s="61">
        <v>4000</v>
      </c>
      <c r="C6" s="3">
        <f t="shared" si="0"/>
        <v>12000</v>
      </c>
      <c r="D6" s="4">
        <v>1000</v>
      </c>
      <c r="E6" s="4">
        <v>1000</v>
      </c>
      <c r="F6" s="4">
        <v>1000</v>
      </c>
      <c r="G6" s="4">
        <v>1000</v>
      </c>
      <c r="H6" s="4">
        <v>1000</v>
      </c>
      <c r="I6" s="4">
        <v>1000</v>
      </c>
      <c r="J6" s="4">
        <v>1000</v>
      </c>
      <c r="K6" s="4">
        <v>1000</v>
      </c>
      <c r="L6" s="4">
        <v>1000</v>
      </c>
      <c r="M6" s="4">
        <v>1000</v>
      </c>
      <c r="N6" s="4">
        <v>1000</v>
      </c>
      <c r="O6" s="4">
        <v>1000</v>
      </c>
      <c r="P6" s="19">
        <f t="shared" si="1"/>
        <v>4000</v>
      </c>
    </row>
    <row r="7" spans="1:16" ht="15">
      <c r="A7" s="7" t="s">
        <v>65</v>
      </c>
      <c r="B7" s="61">
        <v>-1000</v>
      </c>
      <c r="C7" s="3">
        <f t="shared" si="0"/>
        <v>14000</v>
      </c>
      <c r="D7" s="4">
        <v>1000</v>
      </c>
      <c r="E7" s="4">
        <v>1000</v>
      </c>
      <c r="F7" s="4">
        <f>1000+2000</f>
        <v>3000</v>
      </c>
      <c r="G7" s="4">
        <v>1000</v>
      </c>
      <c r="H7" s="4">
        <v>1000</v>
      </c>
      <c r="I7" s="4">
        <v>1000</v>
      </c>
      <c r="J7" s="4">
        <v>1000</v>
      </c>
      <c r="K7" s="4">
        <v>1000</v>
      </c>
      <c r="L7" s="4">
        <v>1000</v>
      </c>
      <c r="M7" s="4">
        <v>1000</v>
      </c>
      <c r="N7" s="4">
        <v>1000</v>
      </c>
      <c r="O7" s="4">
        <v>1000</v>
      </c>
      <c r="P7" s="19">
        <f t="shared" si="1"/>
        <v>1000</v>
      </c>
    </row>
    <row r="8" spans="1:16" ht="15">
      <c r="A8" s="7" t="s">
        <v>66</v>
      </c>
      <c r="B8" s="61">
        <v>7500</v>
      </c>
      <c r="C8" s="3">
        <f t="shared" si="0"/>
        <v>0</v>
      </c>
      <c r="D8" s="4"/>
      <c r="E8" s="4"/>
      <c r="F8" s="4"/>
      <c r="G8" s="4"/>
      <c r="H8" s="4"/>
      <c r="I8" s="4"/>
      <c r="J8" s="4"/>
      <c r="K8" s="4"/>
      <c r="L8" s="4"/>
      <c r="M8" s="4"/>
      <c r="N8" s="4"/>
      <c r="O8" s="4"/>
      <c r="P8" s="19">
        <f t="shared" si="1"/>
        <v>7500</v>
      </c>
    </row>
    <row r="9" spans="1:16" ht="15">
      <c r="A9" s="7" t="s">
        <v>68</v>
      </c>
      <c r="B9" s="61">
        <v>500</v>
      </c>
      <c r="C9" s="3">
        <f t="shared" si="0"/>
        <v>6000</v>
      </c>
      <c r="D9" s="4">
        <v>500</v>
      </c>
      <c r="E9" s="4">
        <v>500</v>
      </c>
      <c r="F9" s="4">
        <v>500</v>
      </c>
      <c r="G9" s="4">
        <v>500</v>
      </c>
      <c r="H9" s="4">
        <v>500</v>
      </c>
      <c r="I9" s="4">
        <v>500</v>
      </c>
      <c r="J9" s="4">
        <v>500</v>
      </c>
      <c r="K9" s="4">
        <v>500</v>
      </c>
      <c r="L9" s="4">
        <v>500</v>
      </c>
      <c r="M9" s="4">
        <v>500</v>
      </c>
      <c r="N9" s="4">
        <v>500</v>
      </c>
      <c r="O9" s="4">
        <v>500</v>
      </c>
      <c r="P9" s="19">
        <f t="shared" si="1"/>
        <v>500</v>
      </c>
    </row>
    <row r="10" spans="1:16" ht="26.25">
      <c r="A10" s="7" t="s">
        <v>234</v>
      </c>
      <c r="B10" s="61"/>
      <c r="C10" s="3">
        <f t="shared" si="0"/>
        <v>12000</v>
      </c>
      <c r="D10" s="4">
        <v>1000</v>
      </c>
      <c r="E10" s="4">
        <v>1000</v>
      </c>
      <c r="F10" s="4">
        <v>1000</v>
      </c>
      <c r="G10" s="4">
        <v>1000</v>
      </c>
      <c r="H10" s="4">
        <v>1000</v>
      </c>
      <c r="I10" s="4">
        <v>1000</v>
      </c>
      <c r="J10" s="4">
        <v>1000</v>
      </c>
      <c r="K10" s="4">
        <v>1000</v>
      </c>
      <c r="L10" s="4">
        <v>1000</v>
      </c>
      <c r="M10" s="4">
        <v>1000</v>
      </c>
      <c r="N10" s="4">
        <v>1000</v>
      </c>
      <c r="O10" s="4">
        <v>1000</v>
      </c>
      <c r="P10" s="19">
        <f t="shared" si="1"/>
        <v>0</v>
      </c>
    </row>
    <row r="11" spans="1:16" ht="15">
      <c r="A11" s="7" t="s">
        <v>134</v>
      </c>
      <c r="B11" s="61"/>
      <c r="C11" s="3">
        <f t="shared" si="0"/>
        <v>18000</v>
      </c>
      <c r="D11" s="4">
        <v>1500</v>
      </c>
      <c r="E11" s="4">
        <v>1500</v>
      </c>
      <c r="F11" s="4">
        <v>1500</v>
      </c>
      <c r="G11" s="4">
        <v>1500</v>
      </c>
      <c r="H11" s="4">
        <v>1500</v>
      </c>
      <c r="I11" s="4">
        <v>1500</v>
      </c>
      <c r="J11" s="4">
        <v>1500</v>
      </c>
      <c r="K11" s="4">
        <v>1500</v>
      </c>
      <c r="L11" s="4">
        <v>1500</v>
      </c>
      <c r="M11" s="4">
        <v>1500</v>
      </c>
      <c r="N11" s="4">
        <v>1500</v>
      </c>
      <c r="O11" s="4">
        <v>1500</v>
      </c>
      <c r="P11" s="65">
        <f>B11+C11-C29</f>
        <v>0</v>
      </c>
    </row>
    <row r="12" spans="1:16" ht="26.25">
      <c r="A12" s="7" t="s">
        <v>69</v>
      </c>
      <c r="B12" s="61">
        <v>1000</v>
      </c>
      <c r="C12" s="3">
        <f t="shared" si="0"/>
        <v>7000</v>
      </c>
      <c r="D12" s="4">
        <v>1000</v>
      </c>
      <c r="E12" s="4">
        <v>1000</v>
      </c>
      <c r="F12" s="4">
        <v>1000</v>
      </c>
      <c r="G12" s="4">
        <v>1000</v>
      </c>
      <c r="H12" s="4">
        <v>1000</v>
      </c>
      <c r="I12" s="4">
        <v>1000</v>
      </c>
      <c r="J12" s="4">
        <v>1000</v>
      </c>
      <c r="K12" s="4"/>
      <c r="L12" s="4"/>
      <c r="M12" s="4"/>
      <c r="N12" s="4"/>
      <c r="O12" s="4"/>
      <c r="P12" s="65">
        <f>B12+C12-C30</f>
        <v>0</v>
      </c>
    </row>
    <row r="13" spans="1:16" ht="15">
      <c r="A13" s="7" t="s">
        <v>70</v>
      </c>
      <c r="B13" s="61"/>
      <c r="C13" s="3">
        <f t="shared" si="0"/>
        <v>36000</v>
      </c>
      <c r="D13" s="4">
        <v>3000</v>
      </c>
      <c r="E13" s="4">
        <v>3000</v>
      </c>
      <c r="F13" s="4">
        <v>3000</v>
      </c>
      <c r="G13" s="4">
        <v>3000</v>
      </c>
      <c r="H13" s="4">
        <v>3000</v>
      </c>
      <c r="I13" s="4">
        <v>3000</v>
      </c>
      <c r="J13" s="4">
        <v>3000</v>
      </c>
      <c r="K13" s="4">
        <v>3000</v>
      </c>
      <c r="L13" s="4">
        <v>3000</v>
      </c>
      <c r="M13" s="4">
        <v>3000</v>
      </c>
      <c r="N13" s="4">
        <v>3000</v>
      </c>
      <c r="O13" s="4">
        <v>3000</v>
      </c>
      <c r="P13" s="65">
        <f>B13+C13-C31</f>
        <v>3000</v>
      </c>
    </row>
    <row r="14" spans="1:16" ht="15">
      <c r="A14" s="7" t="s">
        <v>136</v>
      </c>
      <c r="B14" s="61"/>
      <c r="C14" s="3">
        <f t="shared" si="0"/>
        <v>6000</v>
      </c>
      <c r="D14" s="4">
        <v>500</v>
      </c>
      <c r="E14" s="4">
        <v>500</v>
      </c>
      <c r="F14" s="4">
        <v>500</v>
      </c>
      <c r="G14" s="4">
        <v>500</v>
      </c>
      <c r="H14" s="4">
        <v>500</v>
      </c>
      <c r="I14" s="4">
        <v>500</v>
      </c>
      <c r="J14" s="4">
        <v>500</v>
      </c>
      <c r="K14" s="4">
        <v>500</v>
      </c>
      <c r="L14" s="4">
        <v>500</v>
      </c>
      <c r="M14" s="4">
        <v>500</v>
      </c>
      <c r="N14" s="4">
        <v>500</v>
      </c>
      <c r="O14" s="4">
        <v>500</v>
      </c>
      <c r="P14" s="65">
        <f>C14+B14-C32</f>
        <v>0</v>
      </c>
    </row>
    <row r="15" spans="1:16" ht="15">
      <c r="A15" s="7" t="s">
        <v>235</v>
      </c>
      <c r="B15" s="61"/>
      <c r="C15" s="3">
        <f t="shared" si="0"/>
        <v>5000</v>
      </c>
      <c r="D15" s="4"/>
      <c r="E15" s="4"/>
      <c r="F15" s="4"/>
      <c r="G15" s="4"/>
      <c r="H15" s="4"/>
      <c r="I15" s="4"/>
      <c r="J15" s="4"/>
      <c r="K15" s="4">
        <v>1000</v>
      </c>
      <c r="L15" s="4">
        <v>1000</v>
      </c>
      <c r="M15" s="4">
        <v>1000</v>
      </c>
      <c r="N15" s="4">
        <v>1000</v>
      </c>
      <c r="O15" s="4">
        <v>1000</v>
      </c>
      <c r="P15" s="65">
        <f>C15+B15-C33</f>
        <v>0</v>
      </c>
    </row>
    <row r="16" spans="1:16" ht="15">
      <c r="A16" s="7" t="s">
        <v>236</v>
      </c>
      <c r="B16" s="61"/>
      <c r="C16" s="3">
        <f t="shared" si="0"/>
        <v>15000</v>
      </c>
      <c r="D16" s="4"/>
      <c r="E16" s="4"/>
      <c r="F16" s="4"/>
      <c r="G16" s="4"/>
      <c r="H16" s="4"/>
      <c r="I16" s="4"/>
      <c r="J16" s="4"/>
      <c r="K16" s="4">
        <v>3000</v>
      </c>
      <c r="L16" s="4">
        <v>3000</v>
      </c>
      <c r="M16" s="4">
        <v>3000</v>
      </c>
      <c r="N16" s="4">
        <v>3000</v>
      </c>
      <c r="O16" s="4">
        <v>3000</v>
      </c>
      <c r="P16" s="65">
        <f>C16+B16-C34</f>
        <v>15000</v>
      </c>
    </row>
    <row r="17" spans="1:16" ht="15">
      <c r="A17" s="7" t="s">
        <v>71</v>
      </c>
      <c r="B17" s="64">
        <f>SUM(B3:B14)</f>
        <v>14000</v>
      </c>
      <c r="C17" s="3">
        <f>SUM(D17:O17)</f>
        <v>191000</v>
      </c>
      <c r="D17" s="3">
        <f>SUM(D3:D16)</f>
        <v>14500</v>
      </c>
      <c r="E17" s="3">
        <f aca="true" t="shared" si="2" ref="E17:O17">SUM(E3:E16)</f>
        <v>14500</v>
      </c>
      <c r="F17" s="3">
        <f t="shared" si="2"/>
        <v>16500</v>
      </c>
      <c r="G17" s="3">
        <f t="shared" si="2"/>
        <v>14500</v>
      </c>
      <c r="H17" s="3">
        <f t="shared" si="2"/>
        <v>14500</v>
      </c>
      <c r="I17" s="3">
        <f t="shared" si="2"/>
        <v>14500</v>
      </c>
      <c r="J17" s="3">
        <f t="shared" si="2"/>
        <v>14500</v>
      </c>
      <c r="K17" s="3">
        <f t="shared" si="2"/>
        <v>17500</v>
      </c>
      <c r="L17" s="3">
        <f t="shared" si="2"/>
        <v>17500</v>
      </c>
      <c r="M17" s="3">
        <f t="shared" si="2"/>
        <v>17500</v>
      </c>
      <c r="N17" s="3">
        <f t="shared" si="2"/>
        <v>17500</v>
      </c>
      <c r="O17" s="3">
        <f t="shared" si="2"/>
        <v>17500</v>
      </c>
      <c r="P17" s="63">
        <f>SUM(P3:P16)</f>
        <v>37000</v>
      </c>
    </row>
    <row r="20" spans="1:15" ht="15">
      <c r="A20" s="1" t="s">
        <v>72</v>
      </c>
      <c r="B20" s="1"/>
      <c r="C20" s="2" t="s">
        <v>1</v>
      </c>
      <c r="D20" s="2" t="s">
        <v>2</v>
      </c>
      <c r="E20" s="2" t="s">
        <v>3</v>
      </c>
      <c r="F20" s="2" t="s">
        <v>4</v>
      </c>
      <c r="G20" s="2" t="s">
        <v>5</v>
      </c>
      <c r="H20" s="2" t="s">
        <v>6</v>
      </c>
      <c r="I20" s="2" t="s">
        <v>7</v>
      </c>
      <c r="J20" s="2" t="s">
        <v>8</v>
      </c>
      <c r="K20" s="2" t="s">
        <v>9</v>
      </c>
      <c r="L20" s="2" t="s">
        <v>10</v>
      </c>
      <c r="M20" s="2" t="s">
        <v>11</v>
      </c>
      <c r="N20" s="2" t="s">
        <v>12</v>
      </c>
      <c r="O20" s="2" t="s">
        <v>13</v>
      </c>
    </row>
    <row r="21" spans="1:15" ht="15">
      <c r="A21" s="7" t="s">
        <v>62</v>
      </c>
      <c r="B21" s="7"/>
      <c r="C21" s="3">
        <f aca="true" t="shared" si="3" ref="C21:C27">SUM(D21:O21)</f>
        <v>9000</v>
      </c>
      <c r="D21" s="4"/>
      <c r="E21" s="4"/>
      <c r="F21" s="4"/>
      <c r="G21" s="4">
        <v>3000</v>
      </c>
      <c r="H21" s="4"/>
      <c r="I21" s="4"/>
      <c r="J21" s="4">
        <v>3000</v>
      </c>
      <c r="K21" s="4"/>
      <c r="L21" s="4"/>
      <c r="M21" s="4">
        <v>3000</v>
      </c>
      <c r="N21" s="4"/>
      <c r="O21" s="4"/>
    </row>
    <row r="22" spans="1:15" ht="15">
      <c r="A22" s="7" t="s">
        <v>67</v>
      </c>
      <c r="B22" s="7"/>
      <c r="C22" s="3">
        <f t="shared" si="3"/>
        <v>12000</v>
      </c>
      <c r="D22" s="4"/>
      <c r="E22" s="4"/>
      <c r="F22" s="4"/>
      <c r="G22" s="4"/>
      <c r="H22" s="4">
        <v>12000</v>
      </c>
      <c r="I22" s="4"/>
      <c r="J22" s="4"/>
      <c r="K22" s="4"/>
      <c r="L22" s="4"/>
      <c r="M22" s="4"/>
      <c r="N22" s="4"/>
      <c r="O22" s="4"/>
    </row>
    <row r="23" spans="1:15" ht="15">
      <c r="A23" s="7" t="s">
        <v>63</v>
      </c>
      <c r="B23" s="7"/>
      <c r="C23" s="3">
        <f t="shared" si="3"/>
        <v>35000</v>
      </c>
      <c r="D23" s="4">
        <v>2000</v>
      </c>
      <c r="E23" s="4">
        <v>3000</v>
      </c>
      <c r="F23" s="4">
        <v>3000</v>
      </c>
      <c r="G23" s="4">
        <v>3000</v>
      </c>
      <c r="H23" s="4">
        <v>3000</v>
      </c>
      <c r="I23" s="4">
        <v>3000</v>
      </c>
      <c r="J23" s="4">
        <v>3000</v>
      </c>
      <c r="K23" s="4">
        <v>3000</v>
      </c>
      <c r="L23" s="4">
        <v>3000</v>
      </c>
      <c r="M23" s="4">
        <v>3000</v>
      </c>
      <c r="N23" s="4">
        <v>3000</v>
      </c>
      <c r="O23" s="4">
        <v>3000</v>
      </c>
    </row>
    <row r="24" spans="1:15" ht="26.25">
      <c r="A24" s="7" t="s">
        <v>64</v>
      </c>
      <c r="B24" s="7"/>
      <c r="C24" s="3">
        <f t="shared" si="3"/>
        <v>12000</v>
      </c>
      <c r="D24" s="4"/>
      <c r="E24" s="4"/>
      <c r="F24" s="4"/>
      <c r="G24" s="4"/>
      <c r="H24" s="4"/>
      <c r="I24" s="4"/>
      <c r="J24" s="4">
        <v>6000</v>
      </c>
      <c r="K24" s="4"/>
      <c r="L24" s="4">
        <v>6000</v>
      </c>
      <c r="M24" s="4"/>
      <c r="N24" s="4"/>
      <c r="O24" s="4"/>
    </row>
    <row r="25" spans="1:15" ht="15">
      <c r="A25" s="7" t="s">
        <v>65</v>
      </c>
      <c r="B25" s="7"/>
      <c r="C25" s="3">
        <f t="shared" si="3"/>
        <v>12000</v>
      </c>
      <c r="D25" s="4"/>
      <c r="E25" s="4">
        <v>2000</v>
      </c>
      <c r="F25" s="4">
        <v>4000</v>
      </c>
      <c r="G25" s="4"/>
      <c r="H25" s="4">
        <v>2000</v>
      </c>
      <c r="I25" s="4"/>
      <c r="J25" s="4"/>
      <c r="K25" s="4">
        <v>2000</v>
      </c>
      <c r="L25" s="4">
        <v>2000</v>
      </c>
      <c r="M25" s="4"/>
      <c r="N25" s="4"/>
      <c r="O25" s="4"/>
    </row>
    <row r="26" spans="1:15" ht="15">
      <c r="A26" s="7" t="s">
        <v>66</v>
      </c>
      <c r="B26" s="7"/>
      <c r="C26" s="3">
        <f t="shared" si="3"/>
        <v>0</v>
      </c>
      <c r="D26" s="4"/>
      <c r="E26" s="4"/>
      <c r="F26" s="4"/>
      <c r="G26" s="4"/>
      <c r="H26" s="4"/>
      <c r="I26" s="4"/>
      <c r="J26" s="4"/>
      <c r="K26" s="4"/>
      <c r="L26" s="4"/>
      <c r="M26" s="4"/>
      <c r="N26" s="4"/>
      <c r="O26" s="4"/>
    </row>
    <row r="27" spans="1:15" ht="15">
      <c r="A27" s="7" t="s">
        <v>68</v>
      </c>
      <c r="B27" s="7"/>
      <c r="C27" s="3">
        <f t="shared" si="3"/>
        <v>6000</v>
      </c>
      <c r="D27" s="4">
        <v>500</v>
      </c>
      <c r="E27" s="4"/>
      <c r="F27" s="4"/>
      <c r="G27" s="4">
        <v>2000</v>
      </c>
      <c r="H27" s="4">
        <v>500</v>
      </c>
      <c r="I27" s="4">
        <v>500</v>
      </c>
      <c r="J27" s="4"/>
      <c r="K27" s="4">
        <v>500</v>
      </c>
      <c r="L27" s="4">
        <v>500</v>
      </c>
      <c r="M27" s="4">
        <v>500</v>
      </c>
      <c r="N27" s="4">
        <v>500</v>
      </c>
      <c r="O27" s="4">
        <v>500</v>
      </c>
    </row>
    <row r="28" spans="1:15" ht="26.25">
      <c r="A28" s="7" t="s">
        <v>234</v>
      </c>
      <c r="B28" s="7"/>
      <c r="C28" s="3">
        <f aca="true" t="shared" si="4" ref="C28:C34">SUM(D28:O28)</f>
        <v>12000</v>
      </c>
      <c r="D28" s="4">
        <v>12000</v>
      </c>
      <c r="E28" s="4"/>
      <c r="F28" s="4"/>
      <c r="G28" s="4"/>
      <c r="H28" s="4"/>
      <c r="I28" s="4"/>
      <c r="J28" s="4"/>
      <c r="K28" s="4"/>
      <c r="L28" s="4"/>
      <c r="M28" s="4"/>
      <c r="N28" s="4"/>
      <c r="O28" s="4"/>
    </row>
    <row r="29" spans="1:15" ht="15">
      <c r="A29" s="7" t="s">
        <v>134</v>
      </c>
      <c r="B29" s="7"/>
      <c r="C29" s="3">
        <f t="shared" si="4"/>
        <v>18000</v>
      </c>
      <c r="D29" s="4"/>
      <c r="E29" s="4"/>
      <c r="F29" s="4"/>
      <c r="G29" s="4"/>
      <c r="H29" s="4"/>
      <c r="I29" s="4"/>
      <c r="J29" s="4">
        <v>9000</v>
      </c>
      <c r="K29" s="4"/>
      <c r="L29" s="4"/>
      <c r="M29" s="4"/>
      <c r="N29" s="4"/>
      <c r="O29" s="4">
        <v>9000</v>
      </c>
    </row>
    <row r="30" spans="1:15" ht="26.25">
      <c r="A30" s="7" t="s">
        <v>69</v>
      </c>
      <c r="B30" s="7"/>
      <c r="C30" s="3">
        <f t="shared" si="4"/>
        <v>8000</v>
      </c>
      <c r="D30" s="4">
        <v>1000</v>
      </c>
      <c r="E30" s="4">
        <v>1000</v>
      </c>
      <c r="F30" s="4">
        <v>1000</v>
      </c>
      <c r="G30" s="4">
        <v>1000</v>
      </c>
      <c r="H30" s="4">
        <v>1000</v>
      </c>
      <c r="I30" s="4"/>
      <c r="J30" s="4"/>
      <c r="K30" s="4">
        <v>1000</v>
      </c>
      <c r="L30" s="4"/>
      <c r="M30" s="4"/>
      <c r="N30" s="4"/>
      <c r="O30" s="4">
        <v>2000</v>
      </c>
    </row>
    <row r="31" spans="1:15" ht="15">
      <c r="A31" s="7" t="s">
        <v>70</v>
      </c>
      <c r="B31" s="7"/>
      <c r="C31" s="3">
        <f t="shared" si="4"/>
        <v>33000</v>
      </c>
      <c r="D31" s="4"/>
      <c r="E31" s="4"/>
      <c r="F31" s="4"/>
      <c r="G31" s="4"/>
      <c r="H31" s="4"/>
      <c r="I31" s="4"/>
      <c r="J31" s="4"/>
      <c r="K31" s="4">
        <v>18000</v>
      </c>
      <c r="L31" s="4"/>
      <c r="M31" s="4">
        <v>9000</v>
      </c>
      <c r="N31" s="4"/>
      <c r="O31" s="4">
        <v>6000</v>
      </c>
    </row>
    <row r="32" spans="1:15" ht="15">
      <c r="A32" s="7" t="s">
        <v>136</v>
      </c>
      <c r="B32" s="7"/>
      <c r="C32" s="3">
        <f t="shared" si="4"/>
        <v>6000</v>
      </c>
      <c r="D32" s="4">
        <v>500</v>
      </c>
      <c r="E32" s="4">
        <v>500</v>
      </c>
      <c r="F32" s="4">
        <v>500</v>
      </c>
      <c r="G32" s="4">
        <v>500</v>
      </c>
      <c r="H32" s="4">
        <v>500</v>
      </c>
      <c r="I32" s="4">
        <v>500</v>
      </c>
      <c r="J32" s="4">
        <v>500</v>
      </c>
      <c r="K32" s="4">
        <v>500</v>
      </c>
      <c r="L32" s="4">
        <v>500</v>
      </c>
      <c r="M32" s="4">
        <v>500</v>
      </c>
      <c r="N32" s="4">
        <v>500</v>
      </c>
      <c r="O32" s="4">
        <v>500</v>
      </c>
    </row>
    <row r="33" spans="1:15" ht="15">
      <c r="A33" s="7" t="s">
        <v>235</v>
      </c>
      <c r="B33" s="7"/>
      <c r="C33" s="3">
        <f t="shared" si="4"/>
        <v>5000</v>
      </c>
      <c r="D33" s="4"/>
      <c r="E33" s="4"/>
      <c r="F33" s="4"/>
      <c r="G33" s="4"/>
      <c r="H33" s="4"/>
      <c r="I33" s="4"/>
      <c r="J33" s="4"/>
      <c r="K33" s="4"/>
      <c r="L33" s="4"/>
      <c r="M33" s="4"/>
      <c r="N33" s="4"/>
      <c r="O33" s="4">
        <v>5000</v>
      </c>
    </row>
    <row r="34" spans="1:15" ht="15">
      <c r="A34" s="7" t="s">
        <v>236</v>
      </c>
      <c r="B34" s="7"/>
      <c r="C34" s="3">
        <f t="shared" si="4"/>
        <v>0</v>
      </c>
      <c r="D34" s="4"/>
      <c r="E34" s="4"/>
      <c r="F34" s="4"/>
      <c r="G34" s="4"/>
      <c r="H34" s="4"/>
      <c r="I34" s="4"/>
      <c r="J34" s="4"/>
      <c r="K34" s="4"/>
      <c r="L34" s="4"/>
      <c r="M34" s="4"/>
      <c r="N34" s="4"/>
      <c r="O34" s="4"/>
    </row>
    <row r="35" spans="1:15" ht="15">
      <c r="A35" s="7" t="s">
        <v>71</v>
      </c>
      <c r="B35" s="7"/>
      <c r="C35" s="3">
        <f>SUM(D35:O35)</f>
        <v>168000</v>
      </c>
      <c r="D35" s="3">
        <f>SUM(D21:D34)</f>
        <v>16000</v>
      </c>
      <c r="E35" s="3">
        <f aca="true" t="shared" si="5" ref="E35:O35">SUM(E21:E34)</f>
        <v>6500</v>
      </c>
      <c r="F35" s="3">
        <f t="shared" si="5"/>
        <v>8500</v>
      </c>
      <c r="G35" s="3">
        <f t="shared" si="5"/>
        <v>9500</v>
      </c>
      <c r="H35" s="3">
        <f t="shared" si="5"/>
        <v>19000</v>
      </c>
      <c r="I35" s="3">
        <f t="shared" si="5"/>
        <v>4000</v>
      </c>
      <c r="J35" s="3">
        <f t="shared" si="5"/>
        <v>21500</v>
      </c>
      <c r="K35" s="3">
        <f t="shared" si="5"/>
        <v>25000</v>
      </c>
      <c r="L35" s="3">
        <f t="shared" si="5"/>
        <v>12000</v>
      </c>
      <c r="M35" s="3">
        <f t="shared" si="5"/>
        <v>16000</v>
      </c>
      <c r="N35" s="3">
        <f t="shared" si="5"/>
        <v>4000</v>
      </c>
      <c r="O35" s="3">
        <f t="shared" si="5"/>
        <v>26000</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G155"/>
  <sheetViews>
    <sheetView zoomScale="85" zoomScaleNormal="85" zoomScalePageLayoutView="0" workbookViewId="0" topLeftCell="A123">
      <selection activeCell="E158" sqref="E158"/>
    </sheetView>
  </sheetViews>
  <sheetFormatPr defaultColWidth="9.140625" defaultRowHeight="15" outlineLevelRow="2"/>
  <cols>
    <col min="1" max="1" width="2.8515625" style="122" customWidth="1"/>
    <col min="2" max="2" width="6.7109375" style="122" bestFit="1" customWidth="1"/>
    <col min="3" max="3" width="71.57421875" style="123" customWidth="1"/>
    <col min="4" max="4" width="11.8515625" style="122" bestFit="1" customWidth="1"/>
    <col min="5" max="7" width="11.8515625" style="133" bestFit="1" customWidth="1"/>
    <col min="8" max="16384" width="9.140625" style="122" customWidth="1"/>
  </cols>
  <sheetData>
    <row r="1" spans="4:7" ht="12.75">
      <c r="D1" s="189" t="s">
        <v>416</v>
      </c>
      <c r="E1" s="189"/>
      <c r="F1" s="189"/>
      <c r="G1" s="189"/>
    </row>
    <row r="2" spans="4:7" ht="12.75">
      <c r="D2" s="189"/>
      <c r="E2" s="189"/>
      <c r="F2" s="189"/>
      <c r="G2" s="189"/>
    </row>
    <row r="3" spans="3:7" ht="12.75">
      <c r="C3" s="124" t="s">
        <v>304</v>
      </c>
      <c r="D3" s="189"/>
      <c r="E3" s="189"/>
      <c r="F3" s="189"/>
      <c r="G3" s="189"/>
    </row>
    <row r="4" ht="12.75">
      <c r="C4" s="124" t="s">
        <v>77</v>
      </c>
    </row>
    <row r="5" ht="12.75">
      <c r="C5" s="124" t="s">
        <v>399</v>
      </c>
    </row>
    <row r="7" ht="12.75">
      <c r="C7" s="124"/>
    </row>
    <row r="8" spans="2:7" ht="12.75">
      <c r="B8" s="125"/>
      <c r="C8" s="126" t="s">
        <v>78</v>
      </c>
      <c r="D8" s="105" t="s">
        <v>79</v>
      </c>
      <c r="E8" s="170"/>
      <c r="F8" s="170"/>
      <c r="G8" s="170"/>
    </row>
    <row r="9" spans="2:7" ht="12.75">
      <c r="B9" s="125">
        <v>1</v>
      </c>
      <c r="C9" s="126" t="s">
        <v>80</v>
      </c>
      <c r="D9" s="106">
        <v>15119</v>
      </c>
      <c r="E9" s="156"/>
      <c r="F9" s="156"/>
      <c r="G9" s="156"/>
    </row>
    <row r="10" spans="2:7" ht="12.75">
      <c r="B10" s="125">
        <v>2</v>
      </c>
      <c r="C10" s="126" t="s">
        <v>81</v>
      </c>
      <c r="D10" s="106">
        <v>1855.6</v>
      </c>
      <c r="E10" s="156"/>
      <c r="F10" s="156"/>
      <c r="G10" s="156"/>
    </row>
    <row r="11" spans="2:7" ht="12.75">
      <c r="B11" s="125">
        <v>3</v>
      </c>
      <c r="C11" s="126" t="s">
        <v>82</v>
      </c>
      <c r="D11" s="106">
        <v>1454.2</v>
      </c>
      <c r="E11" s="156"/>
      <c r="F11" s="156"/>
      <c r="G11" s="156"/>
    </row>
    <row r="12" spans="1:7" ht="12.75">
      <c r="A12" s="127"/>
      <c r="B12" s="128"/>
      <c r="C12" s="129" t="s">
        <v>83</v>
      </c>
      <c r="D12" s="130">
        <v>18428.8</v>
      </c>
      <c r="E12" s="139"/>
      <c r="F12" s="139"/>
      <c r="G12" s="139"/>
    </row>
    <row r="13" spans="2:7" ht="12.75">
      <c r="B13" s="125">
        <v>4</v>
      </c>
      <c r="C13" s="126" t="s">
        <v>84</v>
      </c>
      <c r="D13" s="107">
        <v>8</v>
      </c>
      <c r="E13" s="156"/>
      <c r="F13" s="156"/>
      <c r="G13" s="156"/>
    </row>
    <row r="14" spans="2:7" ht="12.75">
      <c r="B14" s="125">
        <v>5</v>
      </c>
      <c r="C14" s="126" t="s">
        <v>85</v>
      </c>
      <c r="D14" s="107">
        <v>7</v>
      </c>
      <c r="E14" s="156"/>
      <c r="F14" s="156"/>
      <c r="G14" s="156"/>
    </row>
    <row r="15" spans="2:7" ht="12.75">
      <c r="B15" s="125">
        <v>6</v>
      </c>
      <c r="C15" s="126" t="s">
        <v>86</v>
      </c>
      <c r="D15" s="107">
        <v>210</v>
      </c>
      <c r="E15" s="156"/>
      <c r="F15" s="156"/>
      <c r="G15" s="156"/>
    </row>
    <row r="16" spans="2:7" ht="12.75">
      <c r="B16" s="125">
        <v>7</v>
      </c>
      <c r="C16" s="126" t="s">
        <v>87</v>
      </c>
      <c r="D16" s="107">
        <v>15</v>
      </c>
      <c r="E16" s="156"/>
      <c r="F16" s="156"/>
      <c r="G16" s="156"/>
    </row>
    <row r="17" spans="2:7" ht="12.75">
      <c r="B17" s="125">
        <v>8</v>
      </c>
      <c r="C17" s="126" t="s">
        <v>88</v>
      </c>
      <c r="D17" s="107">
        <v>74</v>
      </c>
      <c r="E17" s="156"/>
      <c r="F17" s="156"/>
      <c r="G17" s="156"/>
    </row>
    <row r="18" spans="1:7" ht="12.75">
      <c r="A18" s="127"/>
      <c r="B18" s="128"/>
      <c r="C18" s="129"/>
      <c r="D18" s="127"/>
      <c r="E18" s="188" t="s">
        <v>415</v>
      </c>
      <c r="F18" s="188"/>
      <c r="G18" s="188"/>
    </row>
    <row r="19" spans="2:7" ht="12.75">
      <c r="B19" s="187" t="s">
        <v>0</v>
      </c>
      <c r="C19" s="187" t="s">
        <v>89</v>
      </c>
      <c r="D19" s="136" t="s">
        <v>305</v>
      </c>
      <c r="E19" s="161">
        <v>16.3</v>
      </c>
      <c r="F19" s="131" t="s">
        <v>413</v>
      </c>
      <c r="G19" s="161">
        <f>'[1]смета 2012'!$E$26</f>
        <v>17.84069088319089</v>
      </c>
    </row>
    <row r="20" spans="2:7" ht="12.75">
      <c r="B20" s="187"/>
      <c r="C20" s="187"/>
      <c r="D20" s="125"/>
      <c r="E20" s="161">
        <v>16.3</v>
      </c>
      <c r="F20" s="141" t="s">
        <v>15</v>
      </c>
      <c r="G20" s="161">
        <f>'[1]смета 2012'!$E$27</f>
        <v>17.84069088319089</v>
      </c>
    </row>
    <row r="21" spans="2:7" ht="12.75">
      <c r="B21" s="187"/>
      <c r="C21" s="187"/>
      <c r="D21" s="125" t="s">
        <v>306</v>
      </c>
      <c r="E21" s="161">
        <v>16.26</v>
      </c>
      <c r="F21" s="141" t="s">
        <v>16</v>
      </c>
      <c r="G21" s="161">
        <f>'[1]смета 2012'!$E$28</f>
        <v>11.16683860614397</v>
      </c>
    </row>
    <row r="22" spans="2:7" ht="12.75">
      <c r="B22" s="125">
        <v>1</v>
      </c>
      <c r="C22" s="125">
        <v>2</v>
      </c>
      <c r="D22" s="125">
        <v>3</v>
      </c>
      <c r="E22" s="161">
        <v>2.5</v>
      </c>
      <c r="F22" s="141" t="s">
        <v>414</v>
      </c>
      <c r="G22" s="161">
        <f>'[1]смета 2012'!$E$30</f>
        <v>4.727907776390322</v>
      </c>
    </row>
    <row r="23" spans="2:7" ht="12.75">
      <c r="B23" s="108">
        <v>1</v>
      </c>
      <c r="C23" s="109" t="s">
        <v>90</v>
      </c>
      <c r="D23" s="142" t="s">
        <v>371</v>
      </c>
      <c r="E23" s="169" t="s">
        <v>394</v>
      </c>
      <c r="F23" s="169" t="s">
        <v>356</v>
      </c>
      <c r="G23" s="169" t="s">
        <v>370</v>
      </c>
    </row>
    <row r="24" spans="2:7" ht="12.75">
      <c r="B24" s="49" t="s">
        <v>91</v>
      </c>
      <c r="C24" s="29" t="s">
        <v>390</v>
      </c>
      <c r="D24" s="110">
        <v>79933</v>
      </c>
      <c r="E24" s="110">
        <v>79933</v>
      </c>
      <c r="F24" s="110">
        <f>-D24+E24</f>
        <v>0</v>
      </c>
      <c r="G24" s="110">
        <f>'[1]смета 2012'!$C$24</f>
        <v>78158.8699999986</v>
      </c>
    </row>
    <row r="25" spans="2:7" ht="12.75">
      <c r="B25" s="49" t="s">
        <v>92</v>
      </c>
      <c r="C25" s="29" t="s">
        <v>94</v>
      </c>
      <c r="D25" s="110">
        <v>3604468.2</v>
      </c>
      <c r="E25" s="110">
        <f>Сводный!C3</f>
        <v>3602782.559999999</v>
      </c>
      <c r="F25" s="110">
        <f aca="true" t="shared" si="0" ref="F25:F34">-D25+E25</f>
        <v>-1685.6400000010617</v>
      </c>
      <c r="G25" s="110">
        <f>SUM(G26:G28)</f>
        <v>3826846.8500000015</v>
      </c>
    </row>
    <row r="26" spans="2:7" ht="12.75">
      <c r="B26" s="48"/>
      <c r="C26" s="111" t="s">
        <v>95</v>
      </c>
      <c r="D26" s="131">
        <v>2957677.5995781934</v>
      </c>
      <c r="E26" s="131">
        <f>Сводный!C4</f>
        <v>2956083.2399999998</v>
      </c>
      <c r="F26" s="131">
        <f t="shared" si="0"/>
        <v>-1594.359578193631</v>
      </c>
      <c r="G26" s="131">
        <f>'[1]смета 2012'!$C26</f>
        <v>3234874.0709401723</v>
      </c>
    </row>
    <row r="27" spans="2:7" ht="12.75">
      <c r="B27" s="48"/>
      <c r="C27" s="111" t="s">
        <v>96</v>
      </c>
      <c r="D27" s="131">
        <v>363004.60042180674</v>
      </c>
      <c r="E27" s="131">
        <f>Сводный!C5</f>
        <v>362955.3600000001</v>
      </c>
      <c r="F27" s="131">
        <f t="shared" si="0"/>
        <v>-49.24042180663673</v>
      </c>
      <c r="G27" s="131">
        <f>'[1]смета 2012'!$C27</f>
        <v>397133.77905982925</v>
      </c>
    </row>
    <row r="28" spans="2:7" ht="12.75">
      <c r="B28" s="48"/>
      <c r="C28" s="111" t="s">
        <v>97</v>
      </c>
      <c r="D28" s="131">
        <v>283786</v>
      </c>
      <c r="E28" s="131">
        <f>Сводный!C6</f>
        <v>283743.9600000001</v>
      </c>
      <c r="F28" s="131">
        <f t="shared" si="0"/>
        <v>-42.03999999992084</v>
      </c>
      <c r="G28" s="131">
        <f>'[1]смета 2012'!$C28</f>
        <v>194839</v>
      </c>
    </row>
    <row r="29" spans="2:7" ht="12.75">
      <c r="B29" s="49" t="s">
        <v>93</v>
      </c>
      <c r="C29" s="29" t="s">
        <v>99</v>
      </c>
      <c r="D29" s="110">
        <v>200000</v>
      </c>
      <c r="E29" s="110">
        <f>Сводный!C39</f>
        <v>191000</v>
      </c>
      <c r="F29" s="110">
        <f t="shared" si="0"/>
        <v>-9000</v>
      </c>
      <c r="G29" s="110">
        <f>'[1]смета 2012'!$C29</f>
        <v>210000</v>
      </c>
    </row>
    <row r="30" spans="2:7" ht="12.75">
      <c r="B30" s="49" t="s">
        <v>98</v>
      </c>
      <c r="C30" s="29" t="s">
        <v>307</v>
      </c>
      <c r="D30" s="110">
        <v>552864</v>
      </c>
      <c r="E30" s="110">
        <f>Сводный!C7</f>
        <v>552681</v>
      </c>
      <c r="F30" s="110">
        <f t="shared" si="0"/>
        <v>-183</v>
      </c>
      <c r="G30" s="110">
        <f>SUM(G31:G33)</f>
        <v>1045000</v>
      </c>
    </row>
    <row r="31" spans="2:7" ht="12.75">
      <c r="B31" s="49"/>
      <c r="C31" s="132" t="s">
        <v>14</v>
      </c>
      <c r="D31" s="131">
        <v>453570</v>
      </c>
      <c r="E31" s="131">
        <f>Сводный!C8</f>
        <v>453387</v>
      </c>
      <c r="F31" s="131">
        <f t="shared" si="0"/>
        <v>-183</v>
      </c>
      <c r="G31" s="131">
        <f>'[1]смета 2012'!$C31</f>
        <v>857264.2380150931</v>
      </c>
    </row>
    <row r="32" spans="2:7" ht="12.75">
      <c r="B32" s="49"/>
      <c r="C32" s="132" t="s">
        <v>15</v>
      </c>
      <c r="D32" s="131">
        <v>55668</v>
      </c>
      <c r="E32" s="131">
        <f>Сводный!C9</f>
        <v>55668</v>
      </c>
      <c r="F32" s="131">
        <f t="shared" si="0"/>
        <v>0</v>
      </c>
      <c r="G32" s="131">
        <f>'[1]смета 2012'!$C32</f>
        <v>105243.22710244857</v>
      </c>
    </row>
    <row r="33" spans="2:7" ht="12.75">
      <c r="B33" s="49"/>
      <c r="C33" s="132" t="s">
        <v>16</v>
      </c>
      <c r="D33" s="131">
        <v>43626</v>
      </c>
      <c r="E33" s="131">
        <f>Сводный!C10</f>
        <v>43626</v>
      </c>
      <c r="F33" s="131">
        <f t="shared" si="0"/>
        <v>0</v>
      </c>
      <c r="G33" s="131">
        <f>'[1]смета 2012'!$C33</f>
        <v>82492.53488245833</v>
      </c>
    </row>
    <row r="34" spans="2:7" ht="12.75">
      <c r="B34" s="49" t="s">
        <v>100</v>
      </c>
      <c r="C34" s="29" t="s">
        <v>353</v>
      </c>
      <c r="D34" s="110">
        <v>0</v>
      </c>
      <c r="E34" s="110">
        <f>Сводный!C35</f>
        <v>31926.139999999996</v>
      </c>
      <c r="F34" s="110">
        <f t="shared" si="0"/>
        <v>31926.139999999996</v>
      </c>
      <c r="G34" s="110">
        <f>'[1]смета 2012'!$C34</f>
        <v>0</v>
      </c>
    </row>
    <row r="35" spans="2:7" ht="12.75">
      <c r="B35" s="49" t="s">
        <v>101</v>
      </c>
      <c r="C35" s="112" t="s">
        <v>102</v>
      </c>
      <c r="D35" s="110">
        <v>4437265.2</v>
      </c>
      <c r="E35" s="110">
        <f>E24+E25+E29+E30+E34</f>
        <v>4458322.699999998</v>
      </c>
      <c r="F35" s="110">
        <f>-D35+E35</f>
        <v>21057.499999998137</v>
      </c>
      <c r="G35" s="110">
        <f>G24+G25+G29+G30+G34</f>
        <v>5160005.720000001</v>
      </c>
    </row>
    <row r="36" ht="12.75">
      <c r="D36" s="133"/>
    </row>
    <row r="37" spans="2:7" ht="12.75">
      <c r="B37" s="41">
        <v>2</v>
      </c>
      <c r="C37" s="109" t="s">
        <v>103</v>
      </c>
      <c r="D37" s="142" t="s">
        <v>355</v>
      </c>
      <c r="E37" s="142" t="s">
        <v>394</v>
      </c>
      <c r="F37" s="142" t="s">
        <v>356</v>
      </c>
      <c r="G37" s="142" t="s">
        <v>370</v>
      </c>
    </row>
    <row r="38" spans="2:7" ht="12.75">
      <c r="B38" s="41" t="s">
        <v>104</v>
      </c>
      <c r="C38" s="113" t="s">
        <v>106</v>
      </c>
      <c r="D38" s="110">
        <v>548663.58</v>
      </c>
      <c r="E38" s="185">
        <f>SUM(E39:E51)</f>
        <v>540479.3499999999</v>
      </c>
      <c r="F38" s="110">
        <f aca="true" t="shared" si="1" ref="F38:F89">D38-E38</f>
        <v>8184.230000000098</v>
      </c>
      <c r="G38" s="110">
        <f>'[1]смета 2012'!$C38</f>
        <v>629708.72</v>
      </c>
    </row>
    <row r="39" spans="2:7" ht="12.75">
      <c r="B39" s="114" t="s">
        <v>308</v>
      </c>
      <c r="C39" s="132" t="s">
        <v>309</v>
      </c>
      <c r="D39" s="131">
        <v>13200</v>
      </c>
      <c r="E39" s="181">
        <f>Сводный!C120+Сводный!C129</f>
        <v>20881.699999999997</v>
      </c>
      <c r="F39" s="131">
        <f t="shared" si="1"/>
        <v>-7681.699999999997</v>
      </c>
      <c r="G39" s="131">
        <f>'[1]смета 2012'!$C39</f>
        <v>25000</v>
      </c>
    </row>
    <row r="40" spans="2:7" ht="12.75">
      <c r="B40" s="114" t="s">
        <v>310</v>
      </c>
      <c r="C40" s="132" t="s">
        <v>109</v>
      </c>
      <c r="D40" s="131">
        <v>30000</v>
      </c>
      <c r="E40" s="181">
        <f>Сводный!C199</f>
        <v>19281</v>
      </c>
      <c r="F40" s="131">
        <f t="shared" si="1"/>
        <v>10719</v>
      </c>
      <c r="G40" s="131">
        <f>'[1]смета 2012'!$C40</f>
        <v>38100</v>
      </c>
    </row>
    <row r="41" spans="2:7" ht="12.75">
      <c r="B41" s="134" t="s">
        <v>311</v>
      </c>
      <c r="C41" s="132" t="s">
        <v>312</v>
      </c>
      <c r="D41" s="131">
        <v>4000</v>
      </c>
      <c r="E41" s="181">
        <f>Сводный!C177</f>
        <v>175.65</v>
      </c>
      <c r="F41" s="131">
        <f t="shared" si="1"/>
        <v>3824.35</v>
      </c>
      <c r="G41" s="131">
        <f>'[1]смета 2012'!$C41</f>
        <v>500</v>
      </c>
    </row>
    <row r="42" spans="2:7" ht="25.5">
      <c r="B42" s="134" t="s">
        <v>313</v>
      </c>
      <c r="C42" s="132" t="s">
        <v>314</v>
      </c>
      <c r="D42" s="131">
        <v>15000</v>
      </c>
      <c r="E42" s="181">
        <f>Сводный!C178+Сводный!C185+Сводный!C160</f>
        <v>12561.38</v>
      </c>
      <c r="F42" s="131">
        <f t="shared" si="1"/>
        <v>2438.620000000001</v>
      </c>
      <c r="G42" s="131">
        <f>'[1]смета 2012'!$C42</f>
        <v>10000</v>
      </c>
    </row>
    <row r="43" spans="2:7" ht="12.75">
      <c r="B43" s="134" t="s">
        <v>315</v>
      </c>
      <c r="C43" s="132" t="s">
        <v>316</v>
      </c>
      <c r="D43" s="131">
        <v>16000</v>
      </c>
      <c r="E43" s="181">
        <f>Сводный!C136</f>
        <v>8650</v>
      </c>
      <c r="F43" s="131">
        <f t="shared" si="1"/>
        <v>7350</v>
      </c>
      <c r="G43" s="131">
        <f>'[1]смета 2012'!$C43</f>
        <v>10000</v>
      </c>
    </row>
    <row r="44" spans="2:7" ht="12.75">
      <c r="B44" s="134" t="s">
        <v>317</v>
      </c>
      <c r="C44" s="132" t="s">
        <v>384</v>
      </c>
      <c r="D44" s="131">
        <v>15000</v>
      </c>
      <c r="E44" s="181">
        <f>Сводный!C198</f>
        <v>2400</v>
      </c>
      <c r="F44" s="131">
        <f t="shared" si="1"/>
        <v>12600</v>
      </c>
      <c r="G44" s="131">
        <f>'[1]смета 2012'!$C44</f>
        <v>125000.40000000001</v>
      </c>
    </row>
    <row r="45" spans="2:7" ht="12.75">
      <c r="B45" s="134" t="s">
        <v>318</v>
      </c>
      <c r="C45" s="135" t="s">
        <v>391</v>
      </c>
      <c r="D45" s="131">
        <v>395663.58</v>
      </c>
      <c r="E45" s="181">
        <f>Сводный!C48+Сводный!C50</f>
        <v>377787.0399999999</v>
      </c>
      <c r="F45" s="131">
        <f t="shared" si="1"/>
        <v>17876.540000000095</v>
      </c>
      <c r="G45" s="131">
        <f>'[1]смета 2012'!$C45</f>
        <v>349708.32</v>
      </c>
    </row>
    <row r="46" spans="2:7" ht="12.75">
      <c r="B46" s="134" t="s">
        <v>319</v>
      </c>
      <c r="C46" s="135" t="s">
        <v>225</v>
      </c>
      <c r="D46" s="131">
        <v>7000</v>
      </c>
      <c r="E46" s="181">
        <f>Сводный!C164</f>
        <v>5100</v>
      </c>
      <c r="F46" s="131">
        <f t="shared" si="1"/>
        <v>1900</v>
      </c>
      <c r="G46" s="131">
        <f>'[1]смета 2012'!$C46</f>
        <v>9000</v>
      </c>
    </row>
    <row r="47" spans="2:7" ht="12.75">
      <c r="B47" s="134" t="s">
        <v>320</v>
      </c>
      <c r="C47" s="135" t="s">
        <v>321</v>
      </c>
      <c r="D47" s="131">
        <v>14400</v>
      </c>
      <c r="E47" s="181">
        <f>Сводный!C85</f>
        <v>13200</v>
      </c>
      <c r="F47" s="131">
        <f t="shared" si="1"/>
        <v>1200</v>
      </c>
      <c r="G47" s="131">
        <f>'[1]смета 2012'!$C47</f>
        <v>13200</v>
      </c>
    </row>
    <row r="48" spans="2:7" ht="12.75">
      <c r="B48" s="134" t="s">
        <v>322</v>
      </c>
      <c r="C48" s="135" t="s">
        <v>323</v>
      </c>
      <c r="D48" s="131">
        <v>8400</v>
      </c>
      <c r="E48" s="181">
        <f>Сводный!C142</f>
        <v>8633.15</v>
      </c>
      <c r="F48" s="131">
        <f t="shared" si="1"/>
        <v>-233.14999999999964</v>
      </c>
      <c r="G48" s="131">
        <f>'[1]смета 2012'!$C48</f>
        <v>9000</v>
      </c>
    </row>
    <row r="49" spans="2:7" ht="12.75">
      <c r="B49" s="134" t="s">
        <v>374</v>
      </c>
      <c r="C49" s="135" t="s">
        <v>324</v>
      </c>
      <c r="D49" s="131">
        <v>30000</v>
      </c>
      <c r="E49" s="181">
        <f>Сводный!C165</f>
        <v>30000</v>
      </c>
      <c r="F49" s="131">
        <f t="shared" si="1"/>
        <v>0</v>
      </c>
      <c r="G49" s="131">
        <f>'[1]смета 2012'!$C49</f>
        <v>33000</v>
      </c>
    </row>
    <row r="50" spans="2:7" ht="12.75">
      <c r="B50" s="134" t="s">
        <v>375</v>
      </c>
      <c r="C50" s="135" t="str">
        <f>Сводный!B97</f>
        <v>интернет</v>
      </c>
      <c r="D50" s="131"/>
      <c r="E50" s="181">
        <f>Сводный!C97</f>
        <v>3025.43</v>
      </c>
      <c r="F50" s="131">
        <f t="shared" si="1"/>
        <v>-3025.43</v>
      </c>
      <c r="G50" s="131">
        <f>'[1]смета 2012'!$C50</f>
        <v>7200</v>
      </c>
    </row>
    <row r="51" spans="2:7" ht="12.75">
      <c r="B51" s="134"/>
      <c r="C51" s="135" t="str">
        <f>Сводный!B101</f>
        <v>аренда офиса ТСЖ ( с января по июнь)</v>
      </c>
      <c r="D51" s="131"/>
      <c r="E51" s="181">
        <f>Сводный!C101</f>
        <v>38784</v>
      </c>
      <c r="F51" s="131">
        <f t="shared" si="1"/>
        <v>-38784</v>
      </c>
      <c r="G51" s="131"/>
    </row>
    <row r="52" spans="2:7" ht="25.5">
      <c r="B52" s="41" t="s">
        <v>105</v>
      </c>
      <c r="C52" s="113" t="s">
        <v>325</v>
      </c>
      <c r="D52" s="110">
        <v>1471926</v>
      </c>
      <c r="E52" s="110">
        <f>SUM(E53:E77)-E57-E69-E74</f>
        <v>1377705.3000000003</v>
      </c>
      <c r="F52" s="110">
        <f t="shared" si="1"/>
        <v>94220.69999999972</v>
      </c>
      <c r="G52" s="110">
        <f>SUM(G53:G77)</f>
        <v>1352540</v>
      </c>
    </row>
    <row r="53" spans="2:7" ht="12.75">
      <c r="B53" s="137" t="s">
        <v>107</v>
      </c>
      <c r="C53" s="135" t="s">
        <v>326</v>
      </c>
      <c r="D53" s="131">
        <v>926978</v>
      </c>
      <c r="E53" s="181">
        <f>Сводный!C49+Сводный!C53+Сводный!C54</f>
        <v>837343.3900000001</v>
      </c>
      <c r="F53" s="131">
        <f t="shared" si="1"/>
        <v>89634.60999999987</v>
      </c>
      <c r="G53" s="131">
        <f>'[1]смета 2012'!$C52</f>
        <v>887588</v>
      </c>
    </row>
    <row r="54" spans="2:7" ht="25.5">
      <c r="B54" s="134" t="s">
        <v>108</v>
      </c>
      <c r="C54" s="135" t="s">
        <v>327</v>
      </c>
      <c r="D54" s="131">
        <v>60024</v>
      </c>
      <c r="E54" s="181">
        <f>Сводный!C106</f>
        <v>60024</v>
      </c>
      <c r="F54" s="131">
        <f t="shared" si="1"/>
        <v>0</v>
      </c>
      <c r="G54" s="131">
        <f>'[1]смета 2012'!$C53</f>
        <v>60024</v>
      </c>
    </row>
    <row r="55" spans="2:7" ht="12.75">
      <c r="B55" s="134" t="s">
        <v>110</v>
      </c>
      <c r="C55" s="135" t="s">
        <v>140</v>
      </c>
      <c r="D55" s="131">
        <v>6000</v>
      </c>
      <c r="E55" s="181">
        <f>Сводный!C152</f>
        <v>2700</v>
      </c>
      <c r="F55" s="131">
        <f t="shared" si="1"/>
        <v>3300</v>
      </c>
      <c r="G55" s="131">
        <f>'[1]смета 2012'!$C54</f>
        <v>6000</v>
      </c>
    </row>
    <row r="56" spans="2:7" ht="12.75">
      <c r="B56" s="137" t="s">
        <v>111</v>
      </c>
      <c r="C56" s="135" t="s">
        <v>141</v>
      </c>
      <c r="D56" s="131">
        <v>12000</v>
      </c>
      <c r="E56" s="181">
        <f>Сводный!C107</f>
        <v>2100</v>
      </c>
      <c r="F56" s="131">
        <f t="shared" si="1"/>
        <v>9900</v>
      </c>
      <c r="G56" s="131">
        <f>'[1]смета 2012'!$C55</f>
        <v>5000</v>
      </c>
    </row>
    <row r="57" spans="2:7" ht="12.75">
      <c r="B57" s="137" t="s">
        <v>137</v>
      </c>
      <c r="C57" s="135" t="s">
        <v>142</v>
      </c>
      <c r="D57" s="131">
        <v>12000</v>
      </c>
      <c r="E57" s="181">
        <f>SUM(E58:E61)</f>
        <v>26743.39</v>
      </c>
      <c r="F57" s="131">
        <f t="shared" si="1"/>
        <v>-14743.39</v>
      </c>
      <c r="G57" s="131">
        <f>'[1]смета 2012'!$C56</f>
        <v>15000</v>
      </c>
    </row>
    <row r="58" spans="2:7" ht="25.5" hidden="1" outlineLevel="1">
      <c r="B58" s="137"/>
      <c r="C58" s="144" t="str">
        <f>Сводный!B56</f>
        <v>изготовление переходников (2 шт.) для подключения электроинструмента в патроны освещения</v>
      </c>
      <c r="D58" s="145"/>
      <c r="E58" s="182">
        <f>Сводный!C56</f>
        <v>707.83</v>
      </c>
      <c r="F58" s="145"/>
      <c r="G58" s="131"/>
    </row>
    <row r="59" spans="2:7" ht="12.75" hidden="1" outlineLevel="1">
      <c r="B59" s="137"/>
      <c r="C59" s="144" t="str">
        <f>Сводный!B143</f>
        <v>ООО "УЗЭТО" электротовары, лампы</v>
      </c>
      <c r="D59" s="145"/>
      <c r="E59" s="183">
        <f>Сводный!D143-24480</f>
        <v>7216.299999999999</v>
      </c>
      <c r="F59" s="146"/>
      <c r="G59" s="131"/>
    </row>
    <row r="60" spans="2:7" ht="12.75" hidden="1" outlineLevel="1">
      <c r="B60" s="137"/>
      <c r="C60" s="144" t="str">
        <f>Сводный!B179</f>
        <v>приобретение электрозапчастей и ламп</v>
      </c>
      <c r="D60" s="145"/>
      <c r="E60" s="182">
        <f>Сводный!C179+Сводный!C114</f>
        <v>18819.260000000002</v>
      </c>
      <c r="F60" s="145"/>
      <c r="G60" s="131"/>
    </row>
    <row r="61" spans="2:7" ht="12.75" hidden="1" outlineLevel="1">
      <c r="B61" s="137"/>
      <c r="C61" s="7"/>
      <c r="D61" s="136"/>
      <c r="E61" s="131"/>
      <c r="F61" s="131"/>
      <c r="G61" s="131"/>
    </row>
    <row r="62" spans="2:7" ht="12.75" collapsed="1">
      <c r="B62" s="137" t="s">
        <v>138</v>
      </c>
      <c r="C62" s="135" t="s">
        <v>328</v>
      </c>
      <c r="D62" s="131">
        <v>25000</v>
      </c>
      <c r="E62" s="181">
        <f>Сводный!C158-6000</f>
        <v>30000</v>
      </c>
      <c r="F62" s="131">
        <f t="shared" si="1"/>
        <v>-5000</v>
      </c>
      <c r="G62" s="131">
        <f>'[1]смета 2012'!$C57</f>
        <v>30000</v>
      </c>
    </row>
    <row r="63" spans="2:7" ht="12.75">
      <c r="B63" s="137" t="s">
        <v>139</v>
      </c>
      <c r="C63" s="135" t="s">
        <v>329</v>
      </c>
      <c r="D63" s="131">
        <v>141672</v>
      </c>
      <c r="E63" s="181">
        <f>Сводный!C52+Сводный!C170</f>
        <v>136029.60000000003</v>
      </c>
      <c r="F63" s="131">
        <f t="shared" si="1"/>
        <v>5642.399999999965</v>
      </c>
      <c r="G63" s="131">
        <f>'[1]смета 2012'!$C58</f>
        <v>136992</v>
      </c>
    </row>
    <row r="64" spans="2:7" ht="12.75">
      <c r="B64" s="137" t="s">
        <v>330</v>
      </c>
      <c r="C64" s="135" t="s">
        <v>113</v>
      </c>
      <c r="D64" s="131">
        <v>20000</v>
      </c>
      <c r="E64" s="181">
        <f>Сводный!C69+Сводный!C141+Сводный!C155</f>
        <v>34075.32</v>
      </c>
      <c r="F64" s="131">
        <f t="shared" si="1"/>
        <v>-14075.32</v>
      </c>
      <c r="G64" s="131">
        <f>'[1]смета 2012'!$C59</f>
        <v>10000</v>
      </c>
    </row>
    <row r="65" spans="2:7" ht="12.75">
      <c r="B65" s="137" t="s">
        <v>331</v>
      </c>
      <c r="C65" s="135" t="s">
        <v>226</v>
      </c>
      <c r="D65" s="131">
        <v>28176</v>
      </c>
      <c r="E65" s="181">
        <f>Сводный!C126</f>
        <v>26400</v>
      </c>
      <c r="F65" s="131">
        <f t="shared" si="1"/>
        <v>1776</v>
      </c>
      <c r="G65" s="131">
        <f>'[1]смета 2012'!$C60</f>
        <v>28176</v>
      </c>
    </row>
    <row r="66" spans="2:7" ht="12.75">
      <c r="B66" s="137" t="s">
        <v>332</v>
      </c>
      <c r="C66" s="135" t="s">
        <v>227</v>
      </c>
      <c r="D66" s="131">
        <v>24156</v>
      </c>
      <c r="E66" s="181">
        <v>0</v>
      </c>
      <c r="F66" s="131">
        <f t="shared" si="1"/>
        <v>24156</v>
      </c>
      <c r="G66" s="131">
        <f>'[1]смета 2012'!$C61</f>
        <v>0</v>
      </c>
    </row>
    <row r="67" spans="2:7" ht="12.75">
      <c r="B67" s="137" t="s">
        <v>333</v>
      </c>
      <c r="C67" s="135" t="s">
        <v>334</v>
      </c>
      <c r="D67" s="131">
        <v>25920</v>
      </c>
      <c r="E67" s="181">
        <v>0</v>
      </c>
      <c r="F67" s="131">
        <f t="shared" si="1"/>
        <v>25920</v>
      </c>
      <c r="G67" s="131">
        <f>'[1]смета 2012'!$C62</f>
        <v>34560</v>
      </c>
    </row>
    <row r="68" spans="2:7" ht="12.75">
      <c r="B68" s="137" t="s">
        <v>335</v>
      </c>
      <c r="C68" s="135" t="s">
        <v>228</v>
      </c>
      <c r="D68" s="131">
        <v>24000</v>
      </c>
      <c r="E68" s="181">
        <f>Сводный!C204</f>
        <v>21000</v>
      </c>
      <c r="F68" s="131">
        <f t="shared" si="1"/>
        <v>3000</v>
      </c>
      <c r="G68" s="131">
        <v>0</v>
      </c>
    </row>
    <row r="69" spans="2:7" ht="25.5">
      <c r="B69" s="137" t="s">
        <v>336</v>
      </c>
      <c r="C69" s="135" t="s">
        <v>229</v>
      </c>
      <c r="D69" s="131">
        <v>60000</v>
      </c>
      <c r="E69" s="181">
        <f>Сводный!C61+Сводный!C125+Сводный!C123+Сводный!C128+3860</f>
        <v>87107.23</v>
      </c>
      <c r="F69" s="131">
        <f t="shared" si="1"/>
        <v>-27107.229999999996</v>
      </c>
      <c r="G69" s="131">
        <v>0</v>
      </c>
    </row>
    <row r="70" spans="2:7" ht="12.75" hidden="1" outlineLevel="1">
      <c r="B70" s="137"/>
      <c r="C70" s="144" t="str">
        <f>Сводный!B123</f>
        <v>Ремонт автоматики пожаротушения и приточной вентиляции</v>
      </c>
      <c r="D70" s="145"/>
      <c r="E70" s="182">
        <f>Сводный!C123+3860</f>
        <v>38569.4</v>
      </c>
      <c r="F70" s="145"/>
      <c r="G70" s="145"/>
    </row>
    <row r="71" spans="2:7" ht="38.25" hidden="1" outlineLevel="1">
      <c r="B71" s="137"/>
      <c r="C71" s="144" t="str">
        <f>Сводный!B125</f>
        <v>Восстановительные работы на автоматической системе противодымной защиты (АСПДЗ) и оповещения подземного гаража от превышения концентрации СО</v>
      </c>
      <c r="D71" s="145"/>
      <c r="E71" s="182">
        <f>Сводный!C125</f>
        <v>29706.53</v>
      </c>
      <c r="F71" s="145"/>
      <c r="G71" s="145"/>
    </row>
    <row r="72" spans="2:7" ht="12.75" hidden="1" outlineLevel="1">
      <c r="B72" s="137"/>
      <c r="C72" s="144" t="str">
        <f>Сводный!B128</f>
        <v>Ячейка электромеханическая 4 шт. на СО СОУ-1, СТГ-1 </v>
      </c>
      <c r="D72" s="145"/>
      <c r="E72" s="182">
        <f>Сводный!C128</f>
        <v>16000</v>
      </c>
      <c r="F72" s="145"/>
      <c r="G72" s="145"/>
    </row>
    <row r="73" spans="2:7" ht="12.75" collapsed="1">
      <c r="B73" s="137" t="s">
        <v>337</v>
      </c>
      <c r="C73" s="135" t="s">
        <v>379</v>
      </c>
      <c r="D73" s="131">
        <v>16000</v>
      </c>
      <c r="E73" s="181">
        <f>Сводный!C86</f>
        <v>10613.67</v>
      </c>
      <c r="F73" s="131">
        <f t="shared" si="1"/>
        <v>5386.33</v>
      </c>
      <c r="G73" s="131">
        <f>'[1]смета 2012'!$C63</f>
        <v>14200</v>
      </c>
    </row>
    <row r="74" spans="2:7" ht="12.75">
      <c r="B74" s="137" t="s">
        <v>338</v>
      </c>
      <c r="C74" s="135" t="s">
        <v>143</v>
      </c>
      <c r="D74" s="131">
        <v>15000</v>
      </c>
      <c r="E74" s="181">
        <f>SUM(E75:E75)</f>
        <v>31400</v>
      </c>
      <c r="F74" s="131">
        <f t="shared" si="1"/>
        <v>-16400</v>
      </c>
      <c r="G74" s="131">
        <f>'[1]смета 2012'!$C64</f>
        <v>40000</v>
      </c>
    </row>
    <row r="75" spans="2:7" ht="12.75" hidden="1" outlineLevel="2">
      <c r="B75" s="149"/>
      <c r="C75" s="147" t="s">
        <v>359</v>
      </c>
      <c r="D75" s="150"/>
      <c r="E75" s="184">
        <f>Сводный!C157-8640</f>
        <v>31400</v>
      </c>
      <c r="F75" s="151"/>
      <c r="G75" s="131"/>
    </row>
    <row r="76" spans="2:7" ht="25.5" collapsed="1">
      <c r="B76" s="137" t="s">
        <v>339</v>
      </c>
      <c r="C76" s="135" t="s">
        <v>340</v>
      </c>
      <c r="D76" s="131">
        <v>75000</v>
      </c>
      <c r="E76" s="181">
        <f>Сводный!C168</f>
        <v>75000</v>
      </c>
      <c r="F76" s="131">
        <f t="shared" si="1"/>
        <v>0</v>
      </c>
      <c r="G76" s="131">
        <f>'[1]смета 2012'!$C$65</f>
        <v>75000</v>
      </c>
    </row>
    <row r="77" spans="2:7" ht="12.75">
      <c r="B77" s="137"/>
      <c r="C77" s="135" t="s">
        <v>397</v>
      </c>
      <c r="D77" s="131"/>
      <c r="E77" s="131"/>
      <c r="F77" s="131"/>
      <c r="G77" s="131">
        <f>'[1]смета 2012'!$C$66</f>
        <v>10000</v>
      </c>
    </row>
    <row r="78" spans="2:7" ht="25.5">
      <c r="B78" s="41" t="s">
        <v>112</v>
      </c>
      <c r="C78" s="115" t="s">
        <v>232</v>
      </c>
      <c r="D78" s="110">
        <v>2020589.58</v>
      </c>
      <c r="E78" s="110">
        <f>E38+E52</f>
        <v>1918184.6500000001</v>
      </c>
      <c r="F78" s="110">
        <f t="shared" si="1"/>
        <v>102404.92999999993</v>
      </c>
      <c r="G78" s="110">
        <f>G38+G52</f>
        <v>1982248.72</v>
      </c>
    </row>
    <row r="79" spans="2:7" ht="25.5">
      <c r="B79" s="41" t="s">
        <v>114</v>
      </c>
      <c r="C79" s="115" t="s">
        <v>341</v>
      </c>
      <c r="D79" s="110">
        <v>1740656.58</v>
      </c>
      <c r="E79" s="110">
        <f>E78-E29-E24</f>
        <v>1647251.6500000001</v>
      </c>
      <c r="F79" s="110">
        <f t="shared" si="1"/>
        <v>93404.92999999993</v>
      </c>
      <c r="G79" s="110">
        <f>G78-G29-G24</f>
        <v>1694089.8500000015</v>
      </c>
    </row>
    <row r="80" spans="2:7" ht="25.5">
      <c r="B80" s="116" t="s">
        <v>115</v>
      </c>
      <c r="C80" s="112" t="s">
        <v>342</v>
      </c>
      <c r="D80" s="110">
        <v>1863811.62</v>
      </c>
      <c r="E80" s="110">
        <f>E81+E111+E119</f>
        <v>1919702.2800000003</v>
      </c>
      <c r="F80" s="110">
        <f t="shared" si="1"/>
        <v>-55890.66000000015</v>
      </c>
      <c r="G80" s="110">
        <f>G81+G111+G119</f>
        <v>1914703.2400000002</v>
      </c>
    </row>
    <row r="81" spans="2:7" ht="25.5">
      <c r="B81" s="116" t="s">
        <v>116</v>
      </c>
      <c r="C81" s="113" t="s">
        <v>343</v>
      </c>
      <c r="D81" s="110">
        <v>1659811.62</v>
      </c>
      <c r="E81" s="110">
        <f>SUM(E82:E110)-E84-E89-E120</f>
        <v>1694960.5300000003</v>
      </c>
      <c r="F81" s="110">
        <f t="shared" si="1"/>
        <v>-35148.91000000015</v>
      </c>
      <c r="G81" s="110">
        <f>SUM(G82:G110)</f>
        <v>1746703.2400000002</v>
      </c>
    </row>
    <row r="82" spans="2:7" ht="12.75">
      <c r="B82" s="116"/>
      <c r="C82" s="135" t="s">
        <v>144</v>
      </c>
      <c r="D82" s="131">
        <v>465324.6</v>
      </c>
      <c r="E82" s="181">
        <f>Сводный!C51+Сводный!C77+Сводный!C90</f>
        <v>450750.99000000005</v>
      </c>
      <c r="F82" s="131">
        <f t="shared" si="1"/>
        <v>14573.609999999928</v>
      </c>
      <c r="G82" s="131">
        <f>'[1]смета 2012'!$C$71</f>
        <v>445551.60000000003</v>
      </c>
    </row>
    <row r="83" spans="2:7" ht="12.75">
      <c r="B83" s="116"/>
      <c r="C83" s="132" t="s">
        <v>344</v>
      </c>
      <c r="D83" s="131">
        <v>150000</v>
      </c>
      <c r="E83" s="181">
        <f>Сводный!C88+Сводный!C89+Сводный!C144+Сводный!C183</f>
        <v>30884.94</v>
      </c>
      <c r="F83" s="131">
        <f t="shared" si="1"/>
        <v>119115.06</v>
      </c>
      <c r="G83" s="131">
        <f>'[1]смета 2012'!$C$72</f>
        <v>150000</v>
      </c>
    </row>
    <row r="84" spans="2:7" ht="25.5">
      <c r="B84" s="116"/>
      <c r="C84" s="132" t="s">
        <v>386</v>
      </c>
      <c r="D84" s="131">
        <v>75000</v>
      </c>
      <c r="E84" s="181">
        <f>SUM(E85:E88)</f>
        <v>223857.58</v>
      </c>
      <c r="F84" s="131">
        <f t="shared" si="1"/>
        <v>-148857.58</v>
      </c>
      <c r="G84" s="131">
        <f>'[1]смета 2012'!$C$73</f>
        <v>80000</v>
      </c>
    </row>
    <row r="85" spans="2:7" ht="12.75" outlineLevel="1">
      <c r="B85" s="116"/>
      <c r="C85" s="148" t="s">
        <v>368</v>
      </c>
      <c r="D85" s="145"/>
      <c r="E85" s="182">
        <f>Сводный!C133+Сводный!C182</f>
        <v>41502.18</v>
      </c>
      <c r="F85" s="145"/>
      <c r="G85" s="145"/>
    </row>
    <row r="86" spans="2:7" ht="12.75" outlineLevel="1">
      <c r="B86" s="116"/>
      <c r="C86" s="148" t="s">
        <v>369</v>
      </c>
      <c r="D86" s="145"/>
      <c r="E86" s="182">
        <f>Сводный!C151</f>
        <v>21277.9</v>
      </c>
      <c r="F86" s="131"/>
      <c r="G86" s="131"/>
    </row>
    <row r="87" spans="2:7" ht="12.75" outlineLevel="1">
      <c r="B87" s="116"/>
      <c r="C87" s="148" t="s">
        <v>366</v>
      </c>
      <c r="D87" s="145"/>
      <c r="E87" s="182">
        <f>Сводный!C186+Сводный!C172+Сводный!C150+8640</f>
        <v>126191.78</v>
      </c>
      <c r="F87" s="131"/>
      <c r="G87" s="131"/>
    </row>
    <row r="88" spans="2:7" ht="12.75" outlineLevel="1">
      <c r="B88" s="116"/>
      <c r="C88" s="148" t="s">
        <v>367</v>
      </c>
      <c r="D88" s="145"/>
      <c r="E88" s="182">
        <f>Сводный!C159+Сводный!C181</f>
        <v>34885.72</v>
      </c>
      <c r="F88" s="131"/>
      <c r="G88" s="131"/>
    </row>
    <row r="89" spans="2:7" ht="12.75">
      <c r="B89" s="116"/>
      <c r="C89" s="135" t="s">
        <v>345</v>
      </c>
      <c r="D89" s="131">
        <v>35000</v>
      </c>
      <c r="E89" s="181">
        <f>SUM(E90:E98)</f>
        <v>80650.22</v>
      </c>
      <c r="F89" s="131">
        <f t="shared" si="1"/>
        <v>-45650.22</v>
      </c>
      <c r="G89" s="131">
        <f>'[1]смета 2012'!$C$74</f>
        <v>50000</v>
      </c>
    </row>
    <row r="90" spans="2:7" ht="51" outlineLevel="1">
      <c r="B90" s="116"/>
      <c r="C90" s="144" t="str">
        <f>Сводный!B59</f>
        <v>сварочные работы по установке балансировочного клапана Ballorex Ду 40 на магистрали отопления гаража для регулировки расхода тепловой энергии ИТП секция 7а, фланца для установки датчика температуры обратного трубопровода ИТП секция 7а, отвод от стояка ХВС в кв. 8</v>
      </c>
      <c r="D90" s="145"/>
      <c r="E90" s="182">
        <f>Сводный!C59</f>
        <v>4244.49</v>
      </c>
      <c r="F90" s="145"/>
      <c r="G90" s="145"/>
    </row>
    <row r="91" spans="2:7" ht="38.25" outlineLevel="1">
      <c r="B91" s="116"/>
      <c r="C91" s="144" t="str">
        <f>Сводный!B62</f>
        <v>сварочные работы по замене задвижки Балломакс Ду 80 на контуре ГВС ИТП 7а (3-7 подъезды), трубных соединений (3 шт.) на отводах стояков от магистрали ГВС секция 10 (1-2 подъезды).</v>
      </c>
      <c r="D91" s="145"/>
      <c r="E91" s="182">
        <f>Сводный!C62</f>
        <v>9904.630000000001</v>
      </c>
      <c r="F91" s="145"/>
      <c r="G91" s="145"/>
    </row>
    <row r="92" spans="2:7" ht="25.5" outlineLevel="1">
      <c r="B92" s="116"/>
      <c r="C92" s="144" t="str">
        <f>Сводный!B64</f>
        <v>сварочные работы по ремонту и укреплению детской карусели, замене трубных соединений стояков в подвале 1-2 подъезд секция 10 (2 шт.)</v>
      </c>
      <c r="D92" s="131"/>
      <c r="E92" s="182">
        <f>Сводный!C64</f>
        <v>9904.630000000001</v>
      </c>
      <c r="F92" s="145"/>
      <c r="G92" s="145"/>
    </row>
    <row r="93" spans="2:7" ht="25.5" outlineLevel="1">
      <c r="B93" s="116"/>
      <c r="C93" s="144" t="str">
        <f>Сводный!B65</f>
        <v>сварочные работы по замене отводов от стояков в кв. 15 и 18, изготовлению и установке желоба ливневой канализации 2-го подъезда</v>
      </c>
      <c r="D93" s="131"/>
      <c r="E93" s="182">
        <f>Сводный!C65</f>
        <v>8490.21</v>
      </c>
      <c r="F93" s="145"/>
      <c r="G93" s="145"/>
    </row>
    <row r="94" spans="2:7" ht="38.25" outlineLevel="1">
      <c r="B94" s="116"/>
      <c r="C94" s="144" t="str">
        <f>Сводный!B66</f>
        <v>сварочные работы по замене отводов от стояков в кв. 12,132,134,190, переврезка ХВС системы пожаротушения гаража, врезка спускного крана, изготовление 3 металлических столбов для установки в гараже.</v>
      </c>
      <c r="D94" s="131"/>
      <c r="E94" s="182">
        <f>Сводный!C66</f>
        <v>12734.7</v>
      </c>
      <c r="F94" s="145"/>
      <c r="G94" s="145"/>
    </row>
    <row r="95" spans="2:7" ht="38.25" outlineLevel="1">
      <c r="B95" s="116"/>
      <c r="C95" s="144" t="str">
        <f>Сводный!B67</f>
        <v>сварочные работы по замене отводов от стояков в кв.5,19,20,23,25,61,118, ремонт качели, приваривание порога металлических въездных ворот гаража, устранение свища на контуре ХВС в ИТП 7</v>
      </c>
      <c r="D95" s="131"/>
      <c r="E95" s="182">
        <f>Сводный!C67</f>
        <v>15563.53</v>
      </c>
      <c r="F95" s="145"/>
      <c r="G95" s="145"/>
    </row>
    <row r="96" spans="2:7" ht="25.5" outlineLevel="1">
      <c r="B96" s="116"/>
      <c r="C96" s="144" t="str">
        <f>Сводный!B68</f>
        <v>сварочные работы по замене отводов от стояков в кв.6,17,35, обратного клапана насосной ИТП7, участка трубы с задвижкой ИТП 10</v>
      </c>
      <c r="D96" s="131"/>
      <c r="E96" s="182">
        <f>Сводный!C68</f>
        <v>14149.119999999999</v>
      </c>
      <c r="F96" s="145"/>
      <c r="G96" s="145"/>
    </row>
    <row r="97" spans="2:7" ht="25.5" outlineLevel="1">
      <c r="B97" s="116"/>
      <c r="C97" s="144" t="str">
        <f>Сводный!B76</f>
        <v>сварочные работы по замене труб магистрали подачи ГВС 1 подъезда в секции 10</v>
      </c>
      <c r="D97" s="131"/>
      <c r="E97" s="182">
        <f>Сводный!C76</f>
        <v>1414.42</v>
      </c>
      <c r="F97" s="145"/>
      <c r="G97" s="145"/>
    </row>
    <row r="98" spans="2:7" ht="38.25" outlineLevel="1">
      <c r="B98" s="116"/>
      <c r="C98" s="144" t="str">
        <f>Сводный!B95</f>
        <v>сварочные работы по замене обратного клапана и фильтра на обратной магистрали гвс в итп секция 10, устранение прорыва на калорифере вентиляции гаража</v>
      </c>
      <c r="D98" s="131"/>
      <c r="E98" s="182">
        <f>Сводный!C95</f>
        <v>4244.490000000001</v>
      </c>
      <c r="F98" s="145"/>
      <c r="G98" s="145"/>
    </row>
    <row r="99" spans="2:7" ht="12.75">
      <c r="B99" s="137"/>
      <c r="C99" s="135" t="s">
        <v>118</v>
      </c>
      <c r="D99" s="131">
        <v>296700</v>
      </c>
      <c r="E99" s="181">
        <f>Сводный!C105</f>
        <v>299345</v>
      </c>
      <c r="F99" s="131">
        <f aca="true" t="shared" si="2" ref="F99:F152">D99-E99</f>
        <v>-2645</v>
      </c>
      <c r="G99" s="131">
        <f>'[1]смета 2012'!$C$75</f>
        <v>310500</v>
      </c>
    </row>
    <row r="100" spans="2:7" ht="12.75">
      <c r="B100" s="134"/>
      <c r="C100" s="135" t="s">
        <v>119</v>
      </c>
      <c r="D100" s="131">
        <v>360000</v>
      </c>
      <c r="E100" s="181">
        <f>Сводный!C112</f>
        <v>354538.0800000001</v>
      </c>
      <c r="F100" s="131">
        <f t="shared" si="2"/>
        <v>5461.9199999999255</v>
      </c>
      <c r="G100" s="131">
        <f>'[1]смета 2012'!$C$76</f>
        <v>354538.08</v>
      </c>
    </row>
    <row r="101" spans="2:7" ht="12.75">
      <c r="B101" s="116"/>
      <c r="C101" s="135" t="s">
        <v>145</v>
      </c>
      <c r="D101" s="131">
        <v>13600</v>
      </c>
      <c r="E101" s="181">
        <f>Сводный!C115</f>
        <v>11050</v>
      </c>
      <c r="F101" s="131">
        <f t="shared" si="2"/>
        <v>2550</v>
      </c>
      <c r="G101" s="131">
        <f>'[1]смета 2012'!$C$77</f>
        <v>18480</v>
      </c>
    </row>
    <row r="102" spans="2:7" ht="12.75">
      <c r="B102" s="116"/>
      <c r="C102" s="135" t="s">
        <v>387</v>
      </c>
      <c r="D102" s="131">
        <v>500</v>
      </c>
      <c r="E102" s="181">
        <f>Сводный!C175</f>
        <v>500</v>
      </c>
      <c r="F102" s="131">
        <f t="shared" si="2"/>
        <v>0</v>
      </c>
      <c r="G102" s="131">
        <f>'[1]смета 2012'!$C$78</f>
        <v>50000</v>
      </c>
    </row>
    <row r="103" spans="2:7" ht="25.5">
      <c r="B103" s="116"/>
      <c r="C103" s="135" t="s">
        <v>120</v>
      </c>
      <c r="D103" s="131">
        <v>8720</v>
      </c>
      <c r="E103" s="181">
        <f>Сводный!C130</f>
        <v>8717.280000000002</v>
      </c>
      <c r="F103" s="131">
        <f t="shared" si="2"/>
        <v>2.719999999997526</v>
      </c>
      <c r="G103" s="131">
        <f>'[1]смета 2012'!$C$79</f>
        <v>8720</v>
      </c>
    </row>
    <row r="104" spans="2:7" ht="12.75">
      <c r="B104" s="116"/>
      <c r="C104" s="135" t="s">
        <v>121</v>
      </c>
      <c r="D104" s="131">
        <v>3000</v>
      </c>
      <c r="E104" s="181">
        <v>0</v>
      </c>
      <c r="F104" s="131">
        <f t="shared" si="2"/>
        <v>3000</v>
      </c>
      <c r="G104" s="131">
        <v>0</v>
      </c>
    </row>
    <row r="105" spans="2:7" ht="12.75">
      <c r="B105" s="116"/>
      <c r="C105" s="135" t="s">
        <v>346</v>
      </c>
      <c r="D105" s="131">
        <v>11000</v>
      </c>
      <c r="E105" s="181">
        <f>Сводный!C171</f>
        <v>11521.46</v>
      </c>
      <c r="F105" s="131">
        <f t="shared" si="2"/>
        <v>-521.4599999999991</v>
      </c>
      <c r="G105" s="131">
        <v>0</v>
      </c>
    </row>
    <row r="106" spans="2:7" ht="12.75">
      <c r="B106" s="134"/>
      <c r="C106" s="135" t="s">
        <v>347</v>
      </c>
      <c r="D106" s="131">
        <v>144000</v>
      </c>
      <c r="E106" s="181">
        <f>Сводный!C147</f>
        <v>151735.22999999998</v>
      </c>
      <c r="F106" s="131">
        <f t="shared" si="2"/>
        <v>-7735.229999999981</v>
      </c>
      <c r="G106" s="131">
        <f>'[1]смета 2012'!$C$80</f>
        <v>170463.72</v>
      </c>
    </row>
    <row r="107" spans="2:7" ht="12.75">
      <c r="B107" s="116"/>
      <c r="C107" s="135" t="s">
        <v>146</v>
      </c>
      <c r="D107" s="131">
        <v>57960</v>
      </c>
      <c r="E107" s="181">
        <f>Сводный!C116+Сводный!C98</f>
        <v>66510</v>
      </c>
      <c r="F107" s="131">
        <f t="shared" si="2"/>
        <v>-8550</v>
      </c>
      <c r="G107" s="131">
        <f>'[1]смета 2012'!$C$81</f>
        <v>68040</v>
      </c>
    </row>
    <row r="108" spans="2:7" ht="12.75">
      <c r="B108" s="116"/>
      <c r="C108" s="135" t="s">
        <v>122</v>
      </c>
      <c r="D108" s="131">
        <v>39007.02</v>
      </c>
      <c r="E108" s="181">
        <f>Сводный!C119</f>
        <v>35409.840000000004</v>
      </c>
      <c r="F108" s="131">
        <f t="shared" si="2"/>
        <v>3597.179999999993</v>
      </c>
      <c r="G108" s="131">
        <f>'[1]смета 2012'!$C$83</f>
        <v>35409.840000000004</v>
      </c>
    </row>
    <row r="109" spans="2:7" ht="12.75">
      <c r="B109" s="116"/>
      <c r="C109" s="135" t="str">
        <f>Сводный!B132</f>
        <v>Анализ воды СЭС Роспотребнадзор 2 шт. ( на металлы и общий)</v>
      </c>
      <c r="D109" s="131"/>
      <c r="E109" s="181">
        <f>Сводный!C132</f>
        <v>5317.08</v>
      </c>
      <c r="F109" s="131">
        <f t="shared" si="2"/>
        <v>-5317.08</v>
      </c>
      <c r="G109" s="131"/>
    </row>
    <row r="110" spans="2:7" ht="12.75">
      <c r="B110" s="116"/>
      <c r="C110" s="135" t="s">
        <v>361</v>
      </c>
      <c r="D110" s="131"/>
      <c r="E110" s="181">
        <f>Сводный!C102</f>
        <v>8492</v>
      </c>
      <c r="F110" s="131">
        <f t="shared" si="2"/>
        <v>-8492</v>
      </c>
      <c r="G110" s="131">
        <f>'[1]смета 2012'!$C$82</f>
        <v>5000</v>
      </c>
    </row>
    <row r="111" spans="2:7" ht="12.75">
      <c r="B111" s="116" t="s">
        <v>117</v>
      </c>
      <c r="C111" s="117" t="s">
        <v>124</v>
      </c>
      <c r="D111" s="110">
        <v>189000</v>
      </c>
      <c r="E111" s="185">
        <f>SUM(E112:E117)</f>
        <v>180422.58</v>
      </c>
      <c r="F111" s="110">
        <f t="shared" si="2"/>
        <v>8577.420000000013</v>
      </c>
      <c r="G111" s="110">
        <f>SUM(G112:G118)</f>
        <v>100000</v>
      </c>
    </row>
    <row r="112" spans="2:7" ht="12.75">
      <c r="B112" s="134"/>
      <c r="C112" s="132" t="s">
        <v>125</v>
      </c>
      <c r="D112" s="131">
        <v>9000</v>
      </c>
      <c r="E112" s="181">
        <v>0</v>
      </c>
      <c r="F112" s="131">
        <f t="shared" si="2"/>
        <v>9000</v>
      </c>
      <c r="G112" s="131">
        <v>0</v>
      </c>
    </row>
    <row r="113" spans="2:7" ht="12.75">
      <c r="B113" s="134"/>
      <c r="C113" s="132" t="s">
        <v>385</v>
      </c>
      <c r="D113" s="131">
        <v>15000</v>
      </c>
      <c r="E113" s="181">
        <f>Сводный!C79</f>
        <v>7122.5599999999995</v>
      </c>
      <c r="F113" s="131">
        <f t="shared" si="2"/>
        <v>7877.4400000000005</v>
      </c>
      <c r="G113" s="131">
        <f>'[1]смета 2012'!$C$85</f>
        <v>10000</v>
      </c>
    </row>
    <row r="114" spans="2:7" ht="25.5">
      <c r="B114" s="134"/>
      <c r="C114" s="132" t="s">
        <v>348</v>
      </c>
      <c r="D114" s="131">
        <v>30000</v>
      </c>
      <c r="E114" s="181">
        <v>0</v>
      </c>
      <c r="F114" s="131">
        <f t="shared" si="2"/>
        <v>30000</v>
      </c>
      <c r="G114" s="131">
        <v>0</v>
      </c>
    </row>
    <row r="115" spans="2:7" ht="12.75">
      <c r="B115" s="134"/>
      <c r="C115" s="132" t="s">
        <v>147</v>
      </c>
      <c r="D115" s="131">
        <v>130000</v>
      </c>
      <c r="E115" s="181">
        <f>Сводный!C153+Сводный!C167+Сводный!C173+Сводный!C154</f>
        <v>130800</v>
      </c>
      <c r="F115" s="131">
        <f t="shared" si="2"/>
        <v>-800</v>
      </c>
      <c r="G115" s="131">
        <f>'[1]смета 2012'!$C$86</f>
        <v>80000</v>
      </c>
    </row>
    <row r="116" spans="2:7" ht="12.75">
      <c r="B116" s="134"/>
      <c r="C116" s="132" t="s">
        <v>126</v>
      </c>
      <c r="D116" s="131">
        <v>5000</v>
      </c>
      <c r="E116" s="181">
        <f>Сводный!C135+Сводный!C174</f>
        <v>19000.02</v>
      </c>
      <c r="F116" s="131">
        <f t="shared" si="2"/>
        <v>-14000.02</v>
      </c>
      <c r="G116" s="131">
        <f>'[1]смета 2012'!$C$87</f>
        <v>10000</v>
      </c>
    </row>
    <row r="117" spans="2:7" ht="12.75">
      <c r="B117" s="134"/>
      <c r="C117" s="132" t="s">
        <v>360</v>
      </c>
      <c r="D117" s="131"/>
      <c r="E117" s="181">
        <f>Сводный!C148</f>
        <v>23500</v>
      </c>
      <c r="F117" s="131">
        <f t="shared" si="2"/>
        <v>-23500</v>
      </c>
      <c r="G117" s="131">
        <v>0</v>
      </c>
    </row>
    <row r="118" spans="2:7" ht="12.75">
      <c r="B118" s="134"/>
      <c r="C118" s="132"/>
      <c r="D118" s="131"/>
      <c r="E118" s="131"/>
      <c r="F118" s="131"/>
      <c r="G118" s="131"/>
    </row>
    <row r="119" spans="2:7" ht="12.75">
      <c r="B119" s="116" t="s">
        <v>123</v>
      </c>
      <c r="C119" s="117" t="s">
        <v>349</v>
      </c>
      <c r="D119" s="110">
        <v>15000</v>
      </c>
      <c r="E119" s="110">
        <f>SUM(E120:E128)-E120</f>
        <v>44319.17</v>
      </c>
      <c r="F119" s="110">
        <f t="shared" si="2"/>
        <v>-29319.17</v>
      </c>
      <c r="G119" s="110">
        <f>'[1]смета 2012'!$C$88</f>
        <v>68000</v>
      </c>
    </row>
    <row r="120" spans="2:7" ht="12.75">
      <c r="B120" s="116"/>
      <c r="C120" s="135" t="s">
        <v>148</v>
      </c>
      <c r="D120" s="131">
        <v>15000</v>
      </c>
      <c r="E120" s="131">
        <f>SUM(E121:E133)</f>
        <v>44319.17</v>
      </c>
      <c r="F120" s="131">
        <f t="shared" si="2"/>
        <v>-29319.17</v>
      </c>
      <c r="G120" s="131"/>
    </row>
    <row r="121" spans="2:7" ht="12.75" outlineLevel="1">
      <c r="B121" s="116"/>
      <c r="C121" s="144" t="str">
        <f>Сводный!B82</f>
        <v>замена автоматического выключателя 380 В на ВРУ электрощитовая №1</v>
      </c>
      <c r="D121" s="131"/>
      <c r="E121" s="182">
        <f>Сводный!C82</f>
        <v>849.3900000000001</v>
      </c>
      <c r="F121" s="145"/>
      <c r="G121" s="145"/>
    </row>
    <row r="122" spans="2:7" ht="12.75" outlineLevel="1">
      <c r="B122" s="116"/>
      <c r="C122" s="144" t="str">
        <f>Сводный!B83</f>
        <v>восстановление электропроводки освещения 4 подъезда</v>
      </c>
      <c r="D122" s="131"/>
      <c r="E122" s="182">
        <f>Сводный!C83</f>
        <v>2122.24</v>
      </c>
      <c r="F122" s="145"/>
      <c r="G122" s="145"/>
    </row>
    <row r="123" spans="2:7" ht="12.75" outlineLevel="1">
      <c r="B123" s="116"/>
      <c r="C123" s="144" t="str">
        <f>Сводный!B163</f>
        <v>ремонт мягкой кровли</v>
      </c>
      <c r="D123" s="131"/>
      <c r="E123" s="182">
        <f>Сводный!C163</f>
        <v>15000</v>
      </c>
      <c r="F123" s="145"/>
      <c r="G123" s="145"/>
    </row>
    <row r="124" spans="2:7" ht="12.75" outlineLevel="1">
      <c r="B124" s="116"/>
      <c r="C124" s="144" t="str">
        <f>Сводный!B134</f>
        <v>ООО "ТД "Метаком-Урал" (материалы для ремонта домофона)</v>
      </c>
      <c r="D124" s="131"/>
      <c r="E124" s="182">
        <f>Сводный!C134</f>
        <v>3475</v>
      </c>
      <c r="F124" s="145"/>
      <c r="G124" s="145"/>
    </row>
    <row r="125" spans="2:7" ht="25.5" outlineLevel="1">
      <c r="B125" s="116"/>
      <c r="C125" s="144" t="str">
        <f>Сводный!B184</f>
        <v>устранение поломок (двери, окна, доводчики, ручки, светильники и т.д.)(войлок, защелки, шпингалеты)</v>
      </c>
      <c r="D125" s="131"/>
      <c r="E125" s="182">
        <f>Сводный!C184</f>
        <v>2370</v>
      </c>
      <c r="F125" s="145"/>
      <c r="G125" s="145"/>
    </row>
    <row r="126" spans="2:7" ht="25.5" outlineLevel="1">
      <c r="B126" s="116"/>
      <c r="C126" s="144" t="s">
        <v>423</v>
      </c>
      <c r="D126" s="131"/>
      <c r="E126" s="182">
        <v>6000</v>
      </c>
      <c r="F126" s="145"/>
      <c r="G126" s="145"/>
    </row>
    <row r="127" spans="2:7" ht="12.75" outlineLevel="1">
      <c r="B127" s="116"/>
      <c r="C127" s="144" t="str">
        <f>Сводный!B113</f>
        <v>Замена подшипника редуктора лебедки главного привода лифта 4 подъезд</v>
      </c>
      <c r="D127" s="131"/>
      <c r="E127" s="182">
        <f>Сводный!C113</f>
        <v>8502.54</v>
      </c>
      <c r="F127" s="145"/>
      <c r="G127" s="145"/>
    </row>
    <row r="128" spans="2:7" ht="12.75" outlineLevel="1">
      <c r="B128" s="116"/>
      <c r="C128" s="144" t="str">
        <f>Сводный!B124</f>
        <v>Ревизия и замена контакторов АВР</v>
      </c>
      <c r="D128" s="145"/>
      <c r="E128" s="182">
        <f>Сводный!C124</f>
        <v>6000</v>
      </c>
      <c r="F128" s="145"/>
      <c r="G128" s="145"/>
    </row>
    <row r="129" spans="2:7" ht="25.5" outlineLevel="1">
      <c r="B129" s="116"/>
      <c r="C129" s="144" t="str">
        <f>'[1]смета 2012'!$B89</f>
        <v>замена эл/магн пускателей 6 шт. в электрощитовых (устранение шума и гула)</v>
      </c>
      <c r="D129" s="145"/>
      <c r="E129" s="145"/>
      <c r="F129" s="145"/>
      <c r="G129" s="145">
        <f>'[1]смета 2012'!$C89</f>
        <v>11000</v>
      </c>
    </row>
    <row r="130" spans="2:7" ht="12.75" outlineLevel="1">
      <c r="B130" s="116"/>
      <c r="C130" s="144" t="str">
        <f>'[1]смета 2012'!$B90</f>
        <v>устранение поломок (двери, окна, доводчики, ручки, светильники и т.д.)</v>
      </c>
      <c r="D130" s="145"/>
      <c r="E130" s="145"/>
      <c r="F130" s="145"/>
      <c r="G130" s="145">
        <f>'[1]смета 2012'!$C90</f>
        <v>9000</v>
      </c>
    </row>
    <row r="131" spans="2:7" ht="12.75" outlineLevel="1">
      <c r="B131" s="116"/>
      <c r="C131" s="144" t="str">
        <f>'[1]смета 2012'!$B91</f>
        <v>ремонт элементов автоматики насосных станций и ИТП </v>
      </c>
      <c r="D131" s="145"/>
      <c r="E131" s="145"/>
      <c r="F131" s="145"/>
      <c r="G131" s="145">
        <f>'[1]смета 2012'!$C91</f>
        <v>15000</v>
      </c>
    </row>
    <row r="132" spans="2:7" ht="12.75" outlineLevel="1">
      <c r="B132" s="116"/>
      <c r="C132" s="144" t="str">
        <f>'[1]смета 2012'!$B92</f>
        <v>установка металлической двери на пожарную лестницу 2-го подъезда</v>
      </c>
      <c r="D132" s="145"/>
      <c r="E132" s="182"/>
      <c r="F132" s="145"/>
      <c r="G132" s="145">
        <f>'[1]смета 2012'!$C92</f>
        <v>14000</v>
      </c>
    </row>
    <row r="133" spans="2:7" ht="12.75" outlineLevel="1">
      <c r="B133" s="116"/>
      <c r="C133" s="144"/>
      <c r="D133" s="145"/>
      <c r="E133" s="145"/>
      <c r="F133" s="145"/>
      <c r="G133" s="145"/>
    </row>
    <row r="134" spans="2:7" ht="12.75">
      <c r="B134" s="116" t="s">
        <v>127</v>
      </c>
      <c r="C134" s="117" t="s">
        <v>129</v>
      </c>
      <c r="D134" s="110">
        <v>190000</v>
      </c>
      <c r="E134" s="110">
        <f>SUM(E135:E138)</f>
        <v>83800.35</v>
      </c>
      <c r="F134" s="110">
        <f t="shared" si="2"/>
        <v>106199.65</v>
      </c>
      <c r="G134" s="110">
        <f>SUM(G135:G147)</f>
        <v>1045000</v>
      </c>
    </row>
    <row r="135" spans="2:7" ht="12.75">
      <c r="B135" s="116"/>
      <c r="C135" s="135" t="s">
        <v>350</v>
      </c>
      <c r="D135" s="131">
        <v>60000</v>
      </c>
      <c r="E135" s="181">
        <v>0</v>
      </c>
      <c r="F135" s="131">
        <f t="shared" si="2"/>
        <v>60000</v>
      </c>
      <c r="G135" s="131"/>
    </row>
    <row r="136" spans="2:7" ht="12.75">
      <c r="B136" s="116"/>
      <c r="C136" s="135" t="s">
        <v>380</v>
      </c>
      <c r="D136" s="131">
        <v>50000</v>
      </c>
      <c r="E136" s="181">
        <f>Сводный!C140</f>
        <v>42220</v>
      </c>
      <c r="F136" s="131">
        <f t="shared" si="2"/>
        <v>7780</v>
      </c>
      <c r="G136" s="131"/>
    </row>
    <row r="137" spans="1:7" ht="12.75">
      <c r="A137" s="31"/>
      <c r="B137" s="118"/>
      <c r="C137" s="132" t="s">
        <v>149</v>
      </c>
      <c r="D137" s="131">
        <v>40000</v>
      </c>
      <c r="E137" s="181">
        <f>Сводный!C161+24480</f>
        <v>27430</v>
      </c>
      <c r="F137" s="131">
        <f t="shared" si="2"/>
        <v>12570</v>
      </c>
      <c r="G137" s="131"/>
    </row>
    <row r="138" spans="1:7" ht="25.5">
      <c r="A138" s="31"/>
      <c r="B138" s="118"/>
      <c r="C138" s="135" t="s">
        <v>351</v>
      </c>
      <c r="D138" s="131">
        <v>40000</v>
      </c>
      <c r="E138" s="181">
        <f>Сводный!C87+Сводный!C63</f>
        <v>14150.349999999999</v>
      </c>
      <c r="F138" s="131">
        <f t="shared" si="2"/>
        <v>25849.65</v>
      </c>
      <c r="G138" s="131"/>
    </row>
    <row r="139" spans="1:7" ht="12.75">
      <c r="A139" s="31"/>
      <c r="B139" s="118"/>
      <c r="C139" s="135"/>
      <c r="D139" s="131"/>
      <c r="E139" s="131"/>
      <c r="F139" s="131"/>
      <c r="G139" s="131"/>
    </row>
    <row r="140" spans="1:7" ht="12.75">
      <c r="A140" s="31"/>
      <c r="B140" s="118"/>
      <c r="C140" s="135" t="str">
        <f>'[1]смета 2012'!$B96</f>
        <v>реконструкция подвала под помещение ТСЖ (офис, архив, склад)</v>
      </c>
      <c r="D140" s="131"/>
      <c r="E140" s="131"/>
      <c r="F140" s="131"/>
      <c r="G140" s="131">
        <f>'[1]смета 2012'!$C96</f>
        <v>800000</v>
      </c>
    </row>
    <row r="141" spans="1:7" ht="12.75">
      <c r="A141" s="31"/>
      <c r="B141" s="118"/>
      <c r="C141" s="135" t="str">
        <f>'[1]смета 2012'!$B97</f>
        <v>установка малых форм для детей до 5 лет (вместо сушилки)</v>
      </c>
      <c r="D141" s="131"/>
      <c r="E141" s="131"/>
      <c r="F141" s="131"/>
      <c r="G141" s="131">
        <f>'[1]смета 2012'!$C97</f>
        <v>50000</v>
      </c>
    </row>
    <row r="142" spans="1:7" ht="12.75">
      <c r="A142" s="31"/>
      <c r="B142" s="118"/>
      <c r="C142" s="135" t="str">
        <f>'[1]смета 2012'!$B98</f>
        <v>устройство контейнерной площадки</v>
      </c>
      <c r="D142" s="131"/>
      <c r="E142" s="131"/>
      <c r="F142" s="131"/>
      <c r="G142" s="131">
        <f>'[1]смета 2012'!$C98</f>
        <v>45000</v>
      </c>
    </row>
    <row r="143" spans="1:7" ht="12.75">
      <c r="A143" s="31"/>
      <c r="B143" s="118"/>
      <c r="C143" s="135" t="str">
        <f>'[1]смета 2012'!$B99</f>
        <v>устройство санузла в помещении охраны гаража</v>
      </c>
      <c r="D143" s="131"/>
      <c r="E143" s="131"/>
      <c r="F143" s="131"/>
      <c r="G143" s="131">
        <f>'[1]смета 2012'!$C99</f>
        <v>45000</v>
      </c>
    </row>
    <row r="144" spans="1:7" ht="12.75">
      <c r="A144" s="31"/>
      <c r="B144" s="118"/>
      <c r="C144" s="135" t="str">
        <f>'[1]смета 2012'!$B100</f>
        <v>реконструкция привода гаражных ворот</v>
      </c>
      <c r="D144" s="131"/>
      <c r="E144" s="131"/>
      <c r="F144" s="131"/>
      <c r="G144" s="131">
        <f>'[1]смета 2012'!$C100</f>
        <v>45000</v>
      </c>
    </row>
    <row r="145" spans="1:7" ht="12.75">
      <c r="A145" s="31"/>
      <c r="B145" s="118"/>
      <c r="C145" s="135" t="str">
        <f>'[1]смета 2012'!$B101</f>
        <v>изготовление навеса над въездом в гараж</v>
      </c>
      <c r="D145" s="131"/>
      <c r="E145" s="131"/>
      <c r="F145" s="131"/>
      <c r="G145" s="131">
        <f>'[1]смета 2012'!$C101</f>
        <v>30000</v>
      </c>
    </row>
    <row r="146" spans="1:7" ht="25.5">
      <c r="A146" s="31"/>
      <c r="B146" s="118"/>
      <c r="C146" s="135" t="str">
        <f>'[1]смета 2012'!$B102</f>
        <v>установка  2 шт. фонарей уличного освещения на детской площадке с фотодатчиком включения</v>
      </c>
      <c r="D146" s="131"/>
      <c r="E146" s="131"/>
      <c r="F146" s="131"/>
      <c r="G146" s="131">
        <f>'[1]смета 2012'!$C102</f>
        <v>15000</v>
      </c>
    </row>
    <row r="147" spans="1:7" ht="12.75">
      <c r="A147" s="31"/>
      <c r="B147" s="118"/>
      <c r="C147" s="135" t="str">
        <f>'[1]смета 2012'!$B103</f>
        <v>установка системы фотодатчиков включения освещения гаража</v>
      </c>
      <c r="D147" s="131"/>
      <c r="E147" s="131"/>
      <c r="F147" s="131"/>
      <c r="G147" s="131">
        <f>'[1]смета 2012'!$C103</f>
        <v>15000</v>
      </c>
    </row>
    <row r="148" spans="2:7" ht="12.75">
      <c r="B148" s="116" t="s">
        <v>128</v>
      </c>
      <c r="C148" s="117" t="s">
        <v>357</v>
      </c>
      <c r="D148" s="110">
        <v>362864</v>
      </c>
      <c r="E148" s="110">
        <f>E30-E134</f>
        <v>468880.65</v>
      </c>
      <c r="F148" s="110">
        <f t="shared" si="2"/>
        <v>-106016.65000000002</v>
      </c>
      <c r="G148" s="110">
        <f>G30-G134</f>
        <v>0</v>
      </c>
    </row>
    <row r="149" spans="2:7" ht="12.75">
      <c r="B149" s="116"/>
      <c r="C149" s="108"/>
      <c r="D149" s="131"/>
      <c r="E149" s="131"/>
      <c r="F149" s="131">
        <f t="shared" si="2"/>
        <v>0</v>
      </c>
      <c r="G149" s="131"/>
    </row>
    <row r="150" spans="2:7" ht="12.75">
      <c r="B150" s="116" t="s">
        <v>130</v>
      </c>
      <c r="C150" s="155" t="s">
        <v>388</v>
      </c>
      <c r="D150" s="110">
        <v>0</v>
      </c>
      <c r="E150" s="110">
        <v>0</v>
      </c>
      <c r="F150" s="110">
        <f t="shared" si="2"/>
        <v>0</v>
      </c>
      <c r="G150" s="110">
        <f>'[1]смета 2012'!$C105</f>
        <v>50000</v>
      </c>
    </row>
    <row r="151" spans="2:7" ht="12.75">
      <c r="B151" s="168" t="s">
        <v>407</v>
      </c>
      <c r="C151" s="155" t="s">
        <v>408</v>
      </c>
      <c r="D151" s="110"/>
      <c r="E151" s="110"/>
      <c r="F151" s="110">
        <f t="shared" si="2"/>
        <v>0</v>
      </c>
      <c r="G151" s="110">
        <f>'[1]смета 2012'!$C106</f>
        <v>168053.76</v>
      </c>
    </row>
    <row r="152" spans="1:7" ht="12.75">
      <c r="A152" s="127"/>
      <c r="B152" s="119"/>
      <c r="C152" s="120" t="s">
        <v>131</v>
      </c>
      <c r="D152" s="121">
        <v>4437265.2</v>
      </c>
      <c r="E152" s="121">
        <f>E78+E80+E134+E148</f>
        <v>4390567.930000001</v>
      </c>
      <c r="F152" s="121">
        <f t="shared" si="2"/>
        <v>46697.26999999955</v>
      </c>
      <c r="G152" s="121">
        <f>G78+G80+G134+G150+G151</f>
        <v>5160005.72</v>
      </c>
    </row>
    <row r="154" spans="3:6" ht="12.75">
      <c r="C154" s="138" t="s">
        <v>352</v>
      </c>
      <c r="D154" s="133">
        <v>0</v>
      </c>
      <c r="E154" s="133">
        <f>E35-E152</f>
        <v>67754.76999999769</v>
      </c>
      <c r="F154" s="133">
        <f>F35-F152-F148</f>
        <v>80376.87999999861</v>
      </c>
    </row>
    <row r="155" spans="3:6" ht="12.75">
      <c r="C155" s="138" t="s">
        <v>389</v>
      </c>
      <c r="F155" s="133">
        <f>F154+F148</f>
        <v>-25639.770000001416</v>
      </c>
    </row>
  </sheetData>
  <sheetProtection/>
  <mergeCells count="4">
    <mergeCell ref="B19:B21"/>
    <mergeCell ref="C19:C21"/>
    <mergeCell ref="E18:G18"/>
    <mergeCell ref="D1:G3"/>
  </mergeCells>
  <printOptions/>
  <pageMargins left="0.35433070866141736" right="0.35433070866141736" top="0.984251968503937" bottom="1.1811023622047245" header="0.5118110236220472" footer="0.5118110236220472"/>
  <pageSetup fitToHeight="2" fitToWidth="1"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sheetPr>
    <pageSetUpPr fitToPage="1"/>
  </sheetPr>
  <dimension ref="A1:H110"/>
  <sheetViews>
    <sheetView tabSelected="1" zoomScale="85" zoomScaleNormal="85" workbookViewId="0" topLeftCell="A39">
      <selection activeCell="E56" sqref="E56"/>
    </sheetView>
  </sheetViews>
  <sheetFormatPr defaultColWidth="9.140625" defaultRowHeight="15" outlineLevelRow="2"/>
  <cols>
    <col min="1" max="1" width="2.8515625" style="122" customWidth="1"/>
    <col min="2" max="2" width="6.7109375" style="122" bestFit="1" customWidth="1"/>
    <col min="3" max="3" width="71.57421875" style="123" customWidth="1"/>
    <col min="4" max="4" width="11.8515625" style="122" customWidth="1"/>
    <col min="5" max="5" width="11.8515625" style="133" customWidth="1"/>
    <col min="6" max="6" width="10.28125" style="133" bestFit="1" customWidth="1"/>
    <col min="7" max="7" width="10.421875" style="133" bestFit="1" customWidth="1"/>
    <col min="8" max="8" width="12.8515625" style="162" customWidth="1"/>
    <col min="9" max="16384" width="9.140625" style="122" customWidth="1"/>
  </cols>
  <sheetData>
    <row r="1" ht="12.75">
      <c r="C1" s="124" t="s">
        <v>412</v>
      </c>
    </row>
    <row r="2" ht="12.75">
      <c r="C2" s="124" t="s">
        <v>77</v>
      </c>
    </row>
    <row r="3" ht="12.75">
      <c r="C3" s="124" t="s">
        <v>398</v>
      </c>
    </row>
    <row r="4" spans="2:8" ht="25.5">
      <c r="B4" s="125"/>
      <c r="C4" s="126" t="s">
        <v>78</v>
      </c>
      <c r="E4" s="122"/>
      <c r="F4" s="105" t="s">
        <v>79</v>
      </c>
      <c r="G4" s="105" t="s">
        <v>392</v>
      </c>
      <c r="H4" s="165"/>
    </row>
    <row r="5" spans="2:8" ht="12.75">
      <c r="B5" s="125">
        <v>1</v>
      </c>
      <c r="C5" s="126" t="s">
        <v>80</v>
      </c>
      <c r="E5" s="122"/>
      <c r="F5" s="106">
        <v>15119</v>
      </c>
      <c r="G5" s="157">
        <f>F5/SUM($F$5:$F$7)</f>
        <v>0.8204006772009029</v>
      </c>
      <c r="H5" s="166"/>
    </row>
    <row r="6" spans="2:8" ht="12.75">
      <c r="B6" s="125">
        <v>2</v>
      </c>
      <c r="C6" s="126" t="s">
        <v>81</v>
      </c>
      <c r="E6" s="122"/>
      <c r="F6" s="106">
        <v>1855.6</v>
      </c>
      <c r="G6" s="157">
        <f>F6/SUM($F$5:$F$7)</f>
        <v>0.10069022399722174</v>
      </c>
      <c r="H6" s="166"/>
    </row>
    <row r="7" spans="2:8" ht="12.75">
      <c r="B7" s="125">
        <v>3</v>
      </c>
      <c r="C7" s="126" t="s">
        <v>82</v>
      </c>
      <c r="E7" s="122"/>
      <c r="F7" s="106">
        <v>1454.2</v>
      </c>
      <c r="G7" s="157">
        <f>F7/SUM($F$5:$F$7)</f>
        <v>0.07890909880187533</v>
      </c>
      <c r="H7" s="166"/>
    </row>
    <row r="8" spans="1:8" ht="12.75">
      <c r="A8" s="127"/>
      <c r="B8" s="128"/>
      <c r="C8" s="129" t="s">
        <v>83</v>
      </c>
      <c r="E8" s="122"/>
      <c r="F8" s="130">
        <v>18428.8</v>
      </c>
      <c r="G8" s="158">
        <f>F8/SUM($F$5:$F$7)</f>
        <v>1</v>
      </c>
      <c r="H8" s="166"/>
    </row>
    <row r="9" spans="2:8" ht="12.75">
      <c r="B9" s="125">
        <v>8</v>
      </c>
      <c r="C9" s="126" t="s">
        <v>88</v>
      </c>
      <c r="E9" s="122"/>
      <c r="F9" s="107">
        <v>74</v>
      </c>
      <c r="G9" s="156"/>
      <c r="H9" s="163"/>
    </row>
    <row r="10" spans="1:8" ht="12.75">
      <c r="A10" s="127"/>
      <c r="B10" s="128"/>
      <c r="C10" s="129"/>
      <c r="D10" s="127"/>
      <c r="E10" s="140"/>
      <c r="F10" s="140"/>
      <c r="G10" s="140"/>
      <c r="H10" s="90"/>
    </row>
    <row r="11" spans="2:8" ht="12.75">
      <c r="B11" s="187" t="s">
        <v>0</v>
      </c>
      <c r="C11" s="187" t="s">
        <v>89</v>
      </c>
      <c r="D11" s="136" t="s">
        <v>305</v>
      </c>
      <c r="F11" s="192" t="s">
        <v>400</v>
      </c>
      <c r="G11" s="192"/>
      <c r="H11" s="193" t="s">
        <v>406</v>
      </c>
    </row>
    <row r="12" spans="2:8" ht="12.75" customHeight="1">
      <c r="B12" s="187"/>
      <c r="C12" s="187"/>
      <c r="D12" s="125"/>
      <c r="E12" s="141" t="s">
        <v>402</v>
      </c>
      <c r="F12" s="161">
        <v>16.26</v>
      </c>
      <c r="G12" s="161">
        <f>H69</f>
        <v>11.17</v>
      </c>
      <c r="H12" s="193"/>
    </row>
    <row r="13" spans="2:8" ht="12.75">
      <c r="B13" s="125">
        <v>1</v>
      </c>
      <c r="C13" s="125">
        <v>2</v>
      </c>
      <c r="D13" s="125">
        <v>3</v>
      </c>
      <c r="E13" s="141" t="s">
        <v>401</v>
      </c>
      <c r="F13" s="161">
        <v>2.5</v>
      </c>
      <c r="G13" s="161">
        <f>'[1]смета 2012'!$G$30</f>
        <v>4.727907776390322</v>
      </c>
      <c r="H13" s="161" t="s">
        <v>405</v>
      </c>
    </row>
    <row r="14" spans="2:8" ht="25.5">
      <c r="B14" s="108">
        <v>1</v>
      </c>
      <c r="C14" s="109" t="s">
        <v>90</v>
      </c>
      <c r="D14" s="142" t="s">
        <v>371</v>
      </c>
      <c r="E14" s="142" t="s">
        <v>394</v>
      </c>
      <c r="F14" s="159" t="s">
        <v>395</v>
      </c>
      <c r="G14" s="159" t="s">
        <v>393</v>
      </c>
      <c r="H14" s="95"/>
    </row>
    <row r="15" spans="2:8" ht="12.75">
      <c r="B15" s="49" t="s">
        <v>91</v>
      </c>
      <c r="C15" s="29" t="s">
        <v>390</v>
      </c>
      <c r="D15" s="110">
        <v>79933</v>
      </c>
      <c r="E15" s="110">
        <v>79933</v>
      </c>
      <c r="F15" s="110">
        <f>E15*$G$7</f>
        <v>6307.4409945303005</v>
      </c>
      <c r="G15" s="110">
        <f>'[1]смета 2012'!$F$24</f>
        <v>6170</v>
      </c>
      <c r="H15" s="27"/>
    </row>
    <row r="16" spans="2:8" ht="12.75">
      <c r="B16" s="49" t="s">
        <v>92</v>
      </c>
      <c r="C16" s="29" t="s">
        <v>94</v>
      </c>
      <c r="D16" s="110">
        <v>3604468.2</v>
      </c>
      <c r="E16" s="110">
        <f>Сводный!C3</f>
        <v>3602782.559999999</v>
      </c>
      <c r="F16" s="110"/>
      <c r="G16" s="110"/>
      <c r="H16" s="27"/>
    </row>
    <row r="17" spans="2:8" ht="12.75">
      <c r="B17" s="48"/>
      <c r="C17" s="111" t="s">
        <v>95</v>
      </c>
      <c r="D17" s="131">
        <v>2957677.5995781934</v>
      </c>
      <c r="E17" s="131">
        <f>Сводный!C4</f>
        <v>2956083.2399999998</v>
      </c>
      <c r="F17" s="131"/>
      <c r="G17" s="131"/>
      <c r="H17" s="90"/>
    </row>
    <row r="18" spans="2:8" ht="12.75">
      <c r="B18" s="48"/>
      <c r="C18" s="111" t="s">
        <v>96</v>
      </c>
      <c r="D18" s="131">
        <v>363004.60042180674</v>
      </c>
      <c r="E18" s="131">
        <f>Сводный!C5</f>
        <v>362955.3600000001</v>
      </c>
      <c r="F18" s="131"/>
      <c r="G18" s="131"/>
      <c r="H18" s="90"/>
    </row>
    <row r="19" spans="2:8" ht="12.75">
      <c r="B19" s="48"/>
      <c r="C19" s="111" t="s">
        <v>97</v>
      </c>
      <c r="D19" s="131">
        <v>283786</v>
      </c>
      <c r="E19" s="131">
        <f>Сводный!C6</f>
        <v>283743.9600000001</v>
      </c>
      <c r="F19" s="131">
        <f>E19</f>
        <v>283743.9600000001</v>
      </c>
      <c r="G19" s="131">
        <f>'[1]смета 2012'!$C28</f>
        <v>194839</v>
      </c>
      <c r="H19" s="90"/>
    </row>
    <row r="20" spans="2:8" ht="12.75">
      <c r="B20" s="49" t="s">
        <v>93</v>
      </c>
      <c r="C20" s="29" t="s">
        <v>99</v>
      </c>
      <c r="D20" s="110">
        <v>200000</v>
      </c>
      <c r="E20" s="110">
        <f>Сводный!C39</f>
        <v>191000</v>
      </c>
      <c r="F20" s="110">
        <f>E20*$G$7</f>
        <v>15071.637871158187</v>
      </c>
      <c r="G20" s="110">
        <f>'[1]смета 2012'!$F$29</f>
        <v>16577</v>
      </c>
      <c r="H20" s="27"/>
    </row>
    <row r="21" spans="2:8" ht="12.75">
      <c r="B21" s="49" t="s">
        <v>98</v>
      </c>
      <c r="C21" s="29" t="s">
        <v>307</v>
      </c>
      <c r="D21" s="110">
        <v>552864</v>
      </c>
      <c r="E21" s="110">
        <f>Сводный!C7</f>
        <v>552681</v>
      </c>
      <c r="F21" s="110"/>
      <c r="G21" s="110"/>
      <c r="H21" s="27"/>
    </row>
    <row r="22" spans="2:8" ht="12.75">
      <c r="B22" s="49"/>
      <c r="C22" s="132" t="s">
        <v>14</v>
      </c>
      <c r="D22" s="131">
        <v>453570</v>
      </c>
      <c r="E22" s="131">
        <f>Сводный!C8</f>
        <v>453387</v>
      </c>
      <c r="F22" s="131"/>
      <c r="G22" s="131"/>
      <c r="H22" s="90"/>
    </row>
    <row r="23" spans="2:8" ht="12.75">
      <c r="B23" s="49"/>
      <c r="C23" s="132" t="s">
        <v>15</v>
      </c>
      <c r="D23" s="131">
        <v>55668</v>
      </c>
      <c r="E23" s="131">
        <f>Сводный!C9</f>
        <v>55668</v>
      </c>
      <c r="F23" s="131"/>
      <c r="G23" s="131"/>
      <c r="H23" s="90"/>
    </row>
    <row r="24" spans="2:8" ht="12.75">
      <c r="B24" s="49"/>
      <c r="C24" s="132" t="s">
        <v>16</v>
      </c>
      <c r="D24" s="131">
        <v>43626</v>
      </c>
      <c r="E24" s="131">
        <f>Сводный!C10</f>
        <v>43626</v>
      </c>
      <c r="F24" s="131">
        <f>E24</f>
        <v>43626</v>
      </c>
      <c r="G24" s="131">
        <f>'[1]смета 2012'!$C33</f>
        <v>82492.53488245833</v>
      </c>
      <c r="H24" s="90"/>
    </row>
    <row r="25" spans="2:8" ht="12.75">
      <c r="B25" s="49" t="s">
        <v>100</v>
      </c>
      <c r="C25" s="29" t="s">
        <v>353</v>
      </c>
      <c r="D25" s="110">
        <v>0</v>
      </c>
      <c r="E25" s="110">
        <f>Сводный!C35</f>
        <v>31926.139999999996</v>
      </c>
      <c r="F25" s="110">
        <f>E25*$G$7</f>
        <v>2519.2629356225034</v>
      </c>
      <c r="G25" s="110">
        <f>'[1]смета 2012'!$C34</f>
        <v>0</v>
      </c>
      <c r="H25" s="27"/>
    </row>
    <row r="26" spans="2:8" ht="12.75">
      <c r="B26" s="49" t="s">
        <v>101</v>
      </c>
      <c r="C26" s="112" t="s">
        <v>102</v>
      </c>
      <c r="D26" s="110">
        <v>4437265.2</v>
      </c>
      <c r="E26" s="110">
        <f>E15+E16+E20+E21+E25</f>
        <v>4458322.699999998</v>
      </c>
      <c r="F26" s="110">
        <f>SUM(F15:F25)</f>
        <v>351268.301801311</v>
      </c>
      <c r="G26" s="110">
        <f>SUM(G15:G25)</f>
        <v>300078.53488245833</v>
      </c>
      <c r="H26" s="27"/>
    </row>
    <row r="27" ht="12.75">
      <c r="D27" s="133"/>
    </row>
    <row r="28" spans="2:8" ht="38.25">
      <c r="B28" s="41">
        <v>2</v>
      </c>
      <c r="C28" s="109" t="s">
        <v>103</v>
      </c>
      <c r="D28" s="142" t="s">
        <v>371</v>
      </c>
      <c r="E28" s="142" t="s">
        <v>394</v>
      </c>
      <c r="F28" s="159" t="s">
        <v>395</v>
      </c>
      <c r="G28" s="159" t="s">
        <v>393</v>
      </c>
      <c r="H28" s="17" t="s">
        <v>404</v>
      </c>
    </row>
    <row r="29" spans="2:8" ht="12.75">
      <c r="B29" s="41" t="s">
        <v>104</v>
      </c>
      <c r="C29" s="113" t="s">
        <v>106</v>
      </c>
      <c r="D29" s="110">
        <v>548663.58</v>
      </c>
      <c r="E29" s="110">
        <f>SUM(E30:E42)</f>
        <v>573111.95</v>
      </c>
      <c r="F29" s="110">
        <f>SUM(F30:F42)</f>
        <v>45223.74748708542</v>
      </c>
      <c r="G29" s="110">
        <f>SUM(G30:G42)</f>
        <v>49708</v>
      </c>
      <c r="H29" s="30">
        <f>ROUND(G29/12/$F$7,2)</f>
        <v>2.85</v>
      </c>
    </row>
    <row r="30" spans="2:8" ht="12.75">
      <c r="B30" s="114" t="s">
        <v>308</v>
      </c>
      <c r="C30" s="132" t="s">
        <v>309</v>
      </c>
      <c r="D30" s="131">
        <v>13200</v>
      </c>
      <c r="E30" s="131">
        <f>Сводный!C118+Сводный!C127</f>
        <v>1170</v>
      </c>
      <c r="F30" s="160">
        <f aca="true" t="shared" si="0" ref="F30:F42">E30*$G$7</f>
        <v>92.32364559819413</v>
      </c>
      <c r="G30" s="131">
        <f>'[1]смета 2012'!$F39</f>
        <v>1974</v>
      </c>
      <c r="H30" s="4">
        <f aca="true" t="shared" si="1" ref="H30:H70">ROUND(G30/12/$F$7,2)</f>
        <v>0.11</v>
      </c>
    </row>
    <row r="31" spans="2:8" ht="12.75">
      <c r="B31" s="114" t="s">
        <v>310</v>
      </c>
      <c r="C31" s="132" t="s">
        <v>109</v>
      </c>
      <c r="D31" s="131">
        <v>30000</v>
      </c>
      <c r="E31" s="131">
        <f>Сводный!C196</f>
        <v>0</v>
      </c>
      <c r="F31" s="160">
        <f t="shared" si="0"/>
        <v>0</v>
      </c>
      <c r="G31" s="131">
        <f>'[1]смета 2012'!$F40</f>
        <v>3008</v>
      </c>
      <c r="H31" s="4">
        <f t="shared" si="1"/>
        <v>0.17</v>
      </c>
    </row>
    <row r="32" spans="2:8" ht="12.75">
      <c r="B32" s="134" t="s">
        <v>311</v>
      </c>
      <c r="C32" s="132" t="s">
        <v>312</v>
      </c>
      <c r="D32" s="131">
        <v>4000</v>
      </c>
      <c r="E32" s="131">
        <f>Сводный!C174</f>
        <v>11100</v>
      </c>
      <c r="F32" s="160">
        <f t="shared" si="0"/>
        <v>875.8909967008161</v>
      </c>
      <c r="G32" s="131">
        <f>'[1]смета 2012'!$F41</f>
        <v>39</v>
      </c>
      <c r="H32" s="4">
        <f t="shared" si="1"/>
        <v>0</v>
      </c>
    </row>
    <row r="33" spans="2:8" ht="25.5">
      <c r="B33" s="134" t="s">
        <v>313</v>
      </c>
      <c r="C33" s="132" t="s">
        <v>314</v>
      </c>
      <c r="D33" s="131">
        <v>15000</v>
      </c>
      <c r="E33" s="131">
        <f>Сводный!C175+Сводный!C182+Сводный!C158</f>
        <v>71853.18</v>
      </c>
      <c r="F33" s="160">
        <f t="shared" si="0"/>
        <v>5669.869679848932</v>
      </c>
      <c r="G33" s="131">
        <f>'[1]смета 2012'!$F42</f>
        <v>789</v>
      </c>
      <c r="H33" s="4">
        <f t="shared" si="1"/>
        <v>0.05</v>
      </c>
    </row>
    <row r="34" spans="2:8" ht="12.75">
      <c r="B34" s="134" t="s">
        <v>315</v>
      </c>
      <c r="C34" s="132" t="s">
        <v>316</v>
      </c>
      <c r="D34" s="131">
        <v>16000</v>
      </c>
      <c r="E34" s="131">
        <f>Сводный!C134</f>
        <v>3475</v>
      </c>
      <c r="F34" s="160">
        <f t="shared" si="0"/>
        <v>274.2091183365168</v>
      </c>
      <c r="G34" s="131">
        <f>'[1]смета 2012'!$F43</f>
        <v>789</v>
      </c>
      <c r="H34" s="4">
        <f t="shared" si="1"/>
        <v>0.05</v>
      </c>
    </row>
    <row r="35" spans="2:8" ht="12.75">
      <c r="B35" s="134" t="s">
        <v>317</v>
      </c>
      <c r="C35" s="132" t="s">
        <v>384</v>
      </c>
      <c r="D35" s="131">
        <v>15000</v>
      </c>
      <c r="E35" s="131">
        <f>Сводный!C195</f>
        <v>0</v>
      </c>
      <c r="F35" s="160">
        <f t="shared" si="0"/>
        <v>0</v>
      </c>
      <c r="G35" s="131">
        <f>'[1]смета 2012'!$F44</f>
        <v>9868</v>
      </c>
      <c r="H35" s="4">
        <f t="shared" si="1"/>
        <v>0.57</v>
      </c>
    </row>
    <row r="36" spans="2:8" ht="12.75">
      <c r="B36" s="134" t="s">
        <v>318</v>
      </c>
      <c r="C36" s="135" t="s">
        <v>391</v>
      </c>
      <c r="D36" s="131">
        <v>395663.58</v>
      </c>
      <c r="E36" s="131">
        <f>Сводный!C48+Сводный!C50</f>
        <v>377787.0399999999</v>
      </c>
      <c r="F36" s="160">
        <f t="shared" si="0"/>
        <v>29810.83486542802</v>
      </c>
      <c r="G36" s="131">
        <f>'[1]смета 2012'!$F45</f>
        <v>27606</v>
      </c>
      <c r="H36" s="4">
        <f t="shared" si="1"/>
        <v>1.58</v>
      </c>
    </row>
    <row r="37" spans="2:8" ht="12.75">
      <c r="B37" s="134" t="s">
        <v>319</v>
      </c>
      <c r="C37" s="135" t="s">
        <v>225</v>
      </c>
      <c r="D37" s="131">
        <v>7000</v>
      </c>
      <c r="E37" s="131">
        <f>Сводный!C161</f>
        <v>2950</v>
      </c>
      <c r="F37" s="160">
        <f t="shared" si="0"/>
        <v>232.7818414655322</v>
      </c>
      <c r="G37" s="131">
        <f>'[1]смета 2012'!$F46</f>
        <v>710</v>
      </c>
      <c r="H37" s="4">
        <f t="shared" si="1"/>
        <v>0.04</v>
      </c>
    </row>
    <row r="38" spans="2:8" ht="12.75">
      <c r="B38" s="134" t="s">
        <v>320</v>
      </c>
      <c r="C38" s="135" t="s">
        <v>321</v>
      </c>
      <c r="D38" s="131">
        <v>14400</v>
      </c>
      <c r="E38" s="131">
        <f>Сводный!C83</f>
        <v>2122.24</v>
      </c>
      <c r="F38" s="160">
        <f t="shared" si="0"/>
        <v>167.46404584129186</v>
      </c>
      <c r="G38" s="131">
        <f>'[1]смета 2012'!$F47</f>
        <v>1042</v>
      </c>
      <c r="H38" s="4">
        <f t="shared" si="1"/>
        <v>0.06</v>
      </c>
    </row>
    <row r="39" spans="2:8" ht="12.75">
      <c r="B39" s="134" t="s">
        <v>322</v>
      </c>
      <c r="C39" s="135" t="s">
        <v>323</v>
      </c>
      <c r="D39" s="131">
        <v>8400</v>
      </c>
      <c r="E39" s="131">
        <f>Сводный!C140</f>
        <v>42220</v>
      </c>
      <c r="F39" s="160">
        <f t="shared" si="0"/>
        <v>3331.5421514151762</v>
      </c>
      <c r="G39" s="131">
        <f>'[1]смета 2012'!$F48</f>
        <v>710</v>
      </c>
      <c r="H39" s="4">
        <f t="shared" si="1"/>
        <v>0.04</v>
      </c>
    </row>
    <row r="40" spans="2:8" ht="12.75">
      <c r="B40" s="134" t="s">
        <v>374</v>
      </c>
      <c r="C40" s="135" t="s">
        <v>324</v>
      </c>
      <c r="D40" s="131">
        <v>30000</v>
      </c>
      <c r="E40" s="131">
        <f>Сводный!C162</f>
        <v>15000</v>
      </c>
      <c r="F40" s="160">
        <f t="shared" si="0"/>
        <v>1183.6364820281299</v>
      </c>
      <c r="G40" s="131">
        <f>'[1]смета 2012'!$F49</f>
        <v>2605</v>
      </c>
      <c r="H40" s="4">
        <f t="shared" si="1"/>
        <v>0.15</v>
      </c>
    </row>
    <row r="41" spans="2:8" ht="38.25">
      <c r="B41" s="134" t="s">
        <v>375</v>
      </c>
      <c r="C41" s="135" t="str">
        <f>Сводный!B95</f>
        <v>сварочные работы по замене обратного клапана и фильтра на обратной магистрали гвс в итп секция 10, устранение прорыва на калорифере вентиляции гаража</v>
      </c>
      <c r="D41" s="131"/>
      <c r="E41" s="131">
        <f>Сводный!C95</f>
        <v>4244.490000000001</v>
      </c>
      <c r="F41" s="160">
        <f t="shared" si="0"/>
        <v>334.92888077357185</v>
      </c>
      <c r="G41" s="131">
        <f>'[1]смета 2012'!$F50</f>
        <v>568</v>
      </c>
      <c r="H41" s="4">
        <f t="shared" si="1"/>
        <v>0.03</v>
      </c>
    </row>
    <row r="42" spans="2:8" ht="12.75">
      <c r="B42" s="134"/>
      <c r="C42" s="135" t="str">
        <f>Сводный!B99</f>
        <v>абонентское обслуживание домофона</v>
      </c>
      <c r="D42" s="131"/>
      <c r="E42" s="131">
        <f>Сводный!C99</f>
        <v>41190</v>
      </c>
      <c r="F42" s="160">
        <f t="shared" si="0"/>
        <v>3250.265779649245</v>
      </c>
      <c r="G42" s="131"/>
      <c r="H42" s="4">
        <f t="shared" si="1"/>
        <v>0</v>
      </c>
    </row>
    <row r="43" spans="2:8" ht="25.5">
      <c r="B43" s="41" t="s">
        <v>105</v>
      </c>
      <c r="C43" s="113" t="s">
        <v>325</v>
      </c>
      <c r="D43" s="110">
        <v>1471926</v>
      </c>
      <c r="E43" s="110">
        <f>SUM(E44:E66)-E48-E59-E64</f>
        <v>2103211.9200000004</v>
      </c>
      <c r="F43" s="110">
        <f>SUM(F44:F67)</f>
        <v>388055.06541142124</v>
      </c>
      <c r="G43" s="110">
        <f>SUM(G44:G67)</f>
        <v>167878</v>
      </c>
      <c r="H43" s="30">
        <f t="shared" si="1"/>
        <v>9.62</v>
      </c>
    </row>
    <row r="44" spans="2:8" ht="12.75">
      <c r="B44" s="137" t="s">
        <v>107</v>
      </c>
      <c r="C44" s="135" t="s">
        <v>326</v>
      </c>
      <c r="D44" s="131">
        <v>926978</v>
      </c>
      <c r="E44" s="131">
        <f>Сводный!C49+Сводный!C53+Сводный!C54</f>
        <v>837343.3900000001</v>
      </c>
      <c r="F44" s="160">
        <f aca="true" t="shared" si="2" ref="F44:F54">E44*$G$7</f>
        <v>66074.01229260724</v>
      </c>
      <c r="G44" s="131">
        <f>'[1]смета 2012'!$F52</f>
        <v>70066</v>
      </c>
      <c r="H44" s="4">
        <f t="shared" si="1"/>
        <v>4.02</v>
      </c>
    </row>
    <row r="45" spans="2:8" ht="25.5">
      <c r="B45" s="134" t="s">
        <v>108</v>
      </c>
      <c r="C45" s="135" t="s">
        <v>327</v>
      </c>
      <c r="D45" s="131">
        <v>60024</v>
      </c>
      <c r="E45" s="131">
        <f>Сводный!C104</f>
        <v>361469</v>
      </c>
      <c r="F45" s="160">
        <f t="shared" si="2"/>
        <v>28523.19303481507</v>
      </c>
      <c r="G45" s="131">
        <f>'[1]смета 2012'!$F53</f>
        <v>4738</v>
      </c>
      <c r="H45" s="4">
        <f t="shared" si="1"/>
        <v>0.27</v>
      </c>
    </row>
    <row r="46" spans="2:8" ht="12.75">
      <c r="B46" s="134" t="s">
        <v>110</v>
      </c>
      <c r="C46" s="135" t="s">
        <v>140</v>
      </c>
      <c r="D46" s="131">
        <v>6000</v>
      </c>
      <c r="E46" s="131">
        <f>Сводный!C150</f>
        <v>35484.479999999996</v>
      </c>
      <c r="F46" s="160">
        <f t="shared" si="2"/>
        <v>2800.048338253169</v>
      </c>
      <c r="G46" s="131">
        <f>'[1]смета 2012'!$F54</f>
        <v>474</v>
      </c>
      <c r="H46" s="4">
        <f t="shared" si="1"/>
        <v>0.03</v>
      </c>
    </row>
    <row r="47" spans="2:8" ht="12.75">
      <c r="B47" s="137" t="s">
        <v>111</v>
      </c>
      <c r="C47" s="135" t="s">
        <v>141</v>
      </c>
      <c r="D47" s="131">
        <v>12000</v>
      </c>
      <c r="E47" s="131">
        <f>Сводный!C105</f>
        <v>299345</v>
      </c>
      <c r="F47" s="160">
        <f t="shared" si="2"/>
        <v>23621.04418084737</v>
      </c>
      <c r="G47" s="131">
        <f>'[1]смета 2012'!$F55</f>
        <v>395</v>
      </c>
      <c r="H47" s="4">
        <f t="shared" si="1"/>
        <v>0.02</v>
      </c>
    </row>
    <row r="48" spans="2:8" ht="12.75">
      <c r="B48" s="137" t="s">
        <v>137</v>
      </c>
      <c r="C48" s="135" t="s">
        <v>142</v>
      </c>
      <c r="D48" s="131">
        <v>12000</v>
      </c>
      <c r="E48" s="131">
        <f>SUM(E49:E52)</f>
        <v>124509.59999999999</v>
      </c>
      <c r="F48" s="160">
        <f t="shared" si="2"/>
        <v>9824.940328181976</v>
      </c>
      <c r="G48" s="131">
        <f>'[1]смета 2012'!$F56</f>
        <v>1184</v>
      </c>
      <c r="H48" s="4">
        <f t="shared" si="1"/>
        <v>0.07</v>
      </c>
    </row>
    <row r="49" spans="2:8" ht="25.5" hidden="1" outlineLevel="1">
      <c r="B49" s="137"/>
      <c r="C49" s="144" t="str">
        <f>Сводный!B56</f>
        <v>изготовление переходников (2 шт.) для подключения электроинструмента в патроны освещения</v>
      </c>
      <c r="D49" s="145"/>
      <c r="E49" s="145">
        <f>Сводный!C56</f>
        <v>707.83</v>
      </c>
      <c r="F49" s="160">
        <f t="shared" si="2"/>
        <v>55.854227404931414</v>
      </c>
      <c r="G49" s="131"/>
      <c r="H49" s="4">
        <f t="shared" si="1"/>
        <v>0</v>
      </c>
    </row>
    <row r="50" spans="2:8" ht="12.75" hidden="1" outlineLevel="1">
      <c r="B50" s="137"/>
      <c r="C50" s="144" t="str">
        <f>Сводный!B141</f>
        <v>ООО "Артпожиндустрия" (торсионный механизм)</v>
      </c>
      <c r="D50" s="145"/>
      <c r="E50" s="146">
        <f>Сводный!D141-24480</f>
        <v>-11620</v>
      </c>
      <c r="F50" s="160">
        <f t="shared" si="2"/>
        <v>-916.9237280777913</v>
      </c>
      <c r="G50" s="131"/>
      <c r="H50" s="4">
        <f t="shared" si="1"/>
        <v>0</v>
      </c>
    </row>
    <row r="51" spans="2:8" ht="12.75" hidden="1" outlineLevel="1">
      <c r="B51" s="137"/>
      <c r="C51" s="144" t="str">
        <f>Сводный!B176</f>
        <v>АВАНСОВЫЕ ОТЧЕТЫ</v>
      </c>
      <c r="D51" s="145"/>
      <c r="E51" s="145">
        <f>Сводный!C176</f>
        <v>135421.77</v>
      </c>
      <c r="F51" s="160">
        <f t="shared" si="2"/>
        <v>10686.009828854836</v>
      </c>
      <c r="G51" s="131"/>
      <c r="H51" s="4">
        <f t="shared" si="1"/>
        <v>0</v>
      </c>
    </row>
    <row r="52" spans="2:8" ht="12.75" hidden="1" outlineLevel="1">
      <c r="B52" s="137"/>
      <c r="C52" s="7"/>
      <c r="D52" s="136"/>
      <c r="E52" s="131"/>
      <c r="F52" s="160">
        <f t="shared" si="2"/>
        <v>0</v>
      </c>
      <c r="G52" s="131"/>
      <c r="H52" s="4">
        <f t="shared" si="1"/>
        <v>0</v>
      </c>
    </row>
    <row r="53" spans="2:8" ht="12.75" collapsed="1">
      <c r="B53" s="137" t="s">
        <v>138</v>
      </c>
      <c r="C53" s="135" t="s">
        <v>328</v>
      </c>
      <c r="D53" s="131">
        <v>25000</v>
      </c>
      <c r="E53" s="131">
        <f>Сводный!C156-6000</f>
        <v>70040</v>
      </c>
      <c r="F53" s="160">
        <f t="shared" si="2"/>
        <v>5526.793280083348</v>
      </c>
      <c r="G53" s="131">
        <f>'[1]смета 2012'!$F57</f>
        <v>2368</v>
      </c>
      <c r="H53" s="4">
        <f t="shared" si="1"/>
        <v>0.14</v>
      </c>
    </row>
    <row r="54" spans="2:8" ht="12.75">
      <c r="B54" s="137" t="s">
        <v>139</v>
      </c>
      <c r="C54" s="135" t="s">
        <v>329</v>
      </c>
      <c r="D54" s="131">
        <v>141672</v>
      </c>
      <c r="E54" s="131">
        <f>Сводный!C52+Сводный!C167</f>
        <v>129593.60000000002</v>
      </c>
      <c r="F54" s="160">
        <f t="shared" si="2"/>
        <v>10226.114186490711</v>
      </c>
      <c r="G54" s="131">
        <f>'[1]смета 2012'!$F58</f>
        <v>10814</v>
      </c>
      <c r="H54" s="4">
        <f t="shared" si="1"/>
        <v>0.62</v>
      </c>
    </row>
    <row r="55" spans="2:8" ht="12.75">
      <c r="B55" s="137" t="s">
        <v>330</v>
      </c>
      <c r="C55" s="135" t="s">
        <v>113</v>
      </c>
      <c r="D55" s="131">
        <v>20000</v>
      </c>
      <c r="E55" s="131">
        <f>Сводный!C67+Сводный!C139+Сводный!C153+Сводный!C60+Сводный!C61</f>
        <v>52261.56</v>
      </c>
      <c r="F55" s="160">
        <f>E55</f>
        <v>52261.56</v>
      </c>
      <c r="G55" s="131">
        <f>'[1]смета 2012'!$F59</f>
        <v>10000</v>
      </c>
      <c r="H55" s="4">
        <f t="shared" si="1"/>
        <v>0.57</v>
      </c>
    </row>
    <row r="56" spans="2:8" ht="12.75">
      <c r="B56" s="137" t="s">
        <v>332</v>
      </c>
      <c r="C56" s="135" t="s">
        <v>227</v>
      </c>
      <c r="D56" s="131">
        <v>24156</v>
      </c>
      <c r="E56" s="131">
        <v>0</v>
      </c>
      <c r="F56" s="160">
        <f>E56*$G$7</f>
        <v>0</v>
      </c>
      <c r="G56" s="131">
        <f>'[1]смета 2012'!$F61</f>
        <v>0</v>
      </c>
      <c r="H56" s="4">
        <f t="shared" si="1"/>
        <v>0</v>
      </c>
    </row>
    <row r="57" spans="2:8" ht="12.75">
      <c r="B57" s="137" t="s">
        <v>333</v>
      </c>
      <c r="C57" s="135" t="s">
        <v>396</v>
      </c>
      <c r="D57" s="131">
        <v>25920</v>
      </c>
      <c r="E57" s="131">
        <v>0</v>
      </c>
      <c r="F57" s="160">
        <f>E57*$G$7</f>
        <v>0</v>
      </c>
      <c r="G57" s="131">
        <f>'[1]смета 2012'!$F62</f>
        <v>34560</v>
      </c>
      <c r="H57" s="4">
        <f t="shared" si="1"/>
        <v>1.98</v>
      </c>
    </row>
    <row r="58" spans="2:8" ht="12.75">
      <c r="B58" s="137" t="s">
        <v>335</v>
      </c>
      <c r="C58" s="135" t="s">
        <v>228</v>
      </c>
      <c r="D58" s="131">
        <v>24000</v>
      </c>
      <c r="E58" s="131">
        <v>21000</v>
      </c>
      <c r="F58" s="160">
        <f>E58</f>
        <v>21000</v>
      </c>
      <c r="G58" s="131">
        <v>0</v>
      </c>
      <c r="H58" s="4">
        <f t="shared" si="1"/>
        <v>0</v>
      </c>
    </row>
    <row r="59" spans="2:8" ht="25.5">
      <c r="B59" s="137" t="s">
        <v>336</v>
      </c>
      <c r="C59" s="135" t="s">
        <v>229</v>
      </c>
      <c r="D59" s="131">
        <v>60000</v>
      </c>
      <c r="E59" s="131">
        <f>Сводный!C121+Сводный!C123+Сводный!C126+Сводный!C61+3860</f>
        <v>87482.40000000001</v>
      </c>
      <c r="F59" s="160">
        <f>E59</f>
        <v>87482.40000000001</v>
      </c>
      <c r="G59" s="131">
        <v>0</v>
      </c>
      <c r="H59" s="4">
        <f t="shared" si="1"/>
        <v>0</v>
      </c>
    </row>
    <row r="60" spans="2:8" ht="12.75" hidden="1" outlineLevel="1">
      <c r="B60" s="137"/>
      <c r="C60" s="144" t="str">
        <f>Сводный!B121</f>
        <v>расчетное обслуживание</v>
      </c>
      <c r="D60" s="145"/>
      <c r="E60" s="145">
        <f>Сводный!C121+3860</f>
        <v>23541.699999999997</v>
      </c>
      <c r="F60" s="160">
        <f>E60*$G$7</f>
        <v>1857.6543312641081</v>
      </c>
      <c r="G60" s="145"/>
      <c r="H60" s="164">
        <f t="shared" si="1"/>
        <v>0</v>
      </c>
    </row>
    <row r="61" spans="2:8" ht="12.75" hidden="1" outlineLevel="1">
      <c r="B61" s="137"/>
      <c r="C61" s="144" t="str">
        <f>Сводный!B123</f>
        <v>Ремонт автоматики пожаротушения и приточной вентиляции</v>
      </c>
      <c r="D61" s="145"/>
      <c r="E61" s="145">
        <f>Сводный!C123</f>
        <v>34709.4</v>
      </c>
      <c r="F61" s="160">
        <f>E61*$G$7</f>
        <v>2738.8874739538114</v>
      </c>
      <c r="G61" s="145"/>
      <c r="H61" s="164">
        <f t="shared" si="1"/>
        <v>0</v>
      </c>
    </row>
    <row r="62" spans="2:8" ht="25.5" hidden="1" outlineLevel="1">
      <c r="B62" s="137"/>
      <c r="C62" s="144" t="str">
        <f>Сводный!B126</f>
        <v>Организация техническое обслуживание автоматической системе противодымной защиты (АСПДЗ) по адресу: ул. Татищева,92</v>
      </c>
      <c r="D62" s="145"/>
      <c r="E62" s="145">
        <f>Сводный!C126</f>
        <v>26400</v>
      </c>
      <c r="F62" s="160">
        <f>E62*$G$7</f>
        <v>2083.200208369509</v>
      </c>
      <c r="G62" s="145"/>
      <c r="H62" s="164">
        <f t="shared" si="1"/>
        <v>0</v>
      </c>
    </row>
    <row r="63" spans="2:8" ht="12.75" collapsed="1">
      <c r="B63" s="137" t="s">
        <v>337</v>
      </c>
      <c r="C63" s="135" t="s">
        <v>379</v>
      </c>
      <c r="D63" s="131">
        <v>16000</v>
      </c>
      <c r="E63" s="131">
        <f>Сводный!C84</f>
        <v>62654.18999999999</v>
      </c>
      <c r="F63" s="160">
        <f>E63</f>
        <v>62654.18999999999</v>
      </c>
      <c r="G63" s="131">
        <f>'[1]смета 2012'!$F63</f>
        <v>14200</v>
      </c>
      <c r="H63" s="4">
        <f t="shared" si="1"/>
        <v>0.81</v>
      </c>
    </row>
    <row r="64" spans="2:8" ht="12.75">
      <c r="B64" s="137" t="s">
        <v>338</v>
      </c>
      <c r="C64" s="135" t="s">
        <v>143</v>
      </c>
      <c r="D64" s="131">
        <v>15000</v>
      </c>
      <c r="E64" s="131">
        <f>SUM(E65:E65)</f>
        <v>-5140</v>
      </c>
      <c r="F64" s="160">
        <f>E64*$G$7</f>
        <v>-405.59276784163916</v>
      </c>
      <c r="G64" s="131">
        <f>'[1]смета 2012'!$F64</f>
        <v>3158</v>
      </c>
      <c r="H64" s="4">
        <f t="shared" si="1"/>
        <v>0.18</v>
      </c>
    </row>
    <row r="65" spans="2:8" ht="12.75" hidden="1" outlineLevel="2">
      <c r="B65" s="149"/>
      <c r="C65" s="147" t="s">
        <v>359</v>
      </c>
      <c r="D65" s="150"/>
      <c r="E65" s="151">
        <f>Сводный!C155-8640</f>
        <v>-5140</v>
      </c>
      <c r="F65" s="160">
        <f>E65*$G$7</f>
        <v>-405.59276784163916</v>
      </c>
      <c r="G65" s="131"/>
      <c r="H65" s="4">
        <f t="shared" si="1"/>
        <v>0</v>
      </c>
    </row>
    <row r="66" spans="2:8" ht="25.5" collapsed="1">
      <c r="B66" s="137" t="s">
        <v>339</v>
      </c>
      <c r="C66" s="135" t="s">
        <v>340</v>
      </c>
      <c r="D66" s="131">
        <v>75000</v>
      </c>
      <c r="E66" s="131">
        <f>Сводный!C165</f>
        <v>30000</v>
      </c>
      <c r="F66" s="160">
        <f>E66*$G$7</f>
        <v>2367.2729640562598</v>
      </c>
      <c r="G66" s="131">
        <f>'[1]смета 2012'!$F$65</f>
        <v>5921</v>
      </c>
      <c r="H66" s="4">
        <f t="shared" si="1"/>
        <v>0.34</v>
      </c>
    </row>
    <row r="67" spans="2:8" ht="12.75">
      <c r="B67" s="137"/>
      <c r="C67" s="135" t="s">
        <v>397</v>
      </c>
      <c r="D67" s="131"/>
      <c r="E67" s="131"/>
      <c r="F67" s="160"/>
      <c r="G67" s="131">
        <f>'[1]смета 2012'!$F$66</f>
        <v>10000</v>
      </c>
      <c r="H67" s="4">
        <f t="shared" si="1"/>
        <v>0.57</v>
      </c>
    </row>
    <row r="68" spans="2:8" ht="25.5">
      <c r="B68" s="41" t="s">
        <v>112</v>
      </c>
      <c r="C68" s="115" t="s">
        <v>232</v>
      </c>
      <c r="D68" s="110">
        <v>2020589.58</v>
      </c>
      <c r="E68" s="110">
        <f>E29+E43</f>
        <v>2676323.87</v>
      </c>
      <c r="F68" s="110">
        <f>F29+F43</f>
        <v>433278.81289850664</v>
      </c>
      <c r="G68" s="110">
        <f>G29+G43</f>
        <v>217586</v>
      </c>
      <c r="H68" s="30">
        <f t="shared" si="1"/>
        <v>12.47</v>
      </c>
    </row>
    <row r="69" spans="2:8" ht="25.5">
      <c r="B69" s="41" t="s">
        <v>114</v>
      </c>
      <c r="C69" s="115" t="s">
        <v>403</v>
      </c>
      <c r="D69" s="110">
        <v>1740656.58</v>
      </c>
      <c r="E69" s="110">
        <f>E68-E20</f>
        <v>2485323.87</v>
      </c>
      <c r="F69" s="110">
        <f>F68-F20-F15</f>
        <v>411899.7340328182</v>
      </c>
      <c r="G69" s="110">
        <f>G68-G20-G15</f>
        <v>194839</v>
      </c>
      <c r="H69" s="30">
        <f t="shared" si="1"/>
        <v>11.17</v>
      </c>
    </row>
    <row r="70" spans="2:8" ht="12.75">
      <c r="B70" s="116" t="s">
        <v>127</v>
      </c>
      <c r="C70" s="117" t="s">
        <v>129</v>
      </c>
      <c r="D70" s="110">
        <v>190000</v>
      </c>
      <c r="E70" s="110">
        <v>83800.35</v>
      </c>
      <c r="F70" s="110">
        <f>SUM(F71:F75)</f>
        <v>0</v>
      </c>
      <c r="G70" s="110">
        <f>SUM(G71:G75)</f>
        <v>198127.27904150027</v>
      </c>
      <c r="H70" s="167">
        <f t="shared" si="1"/>
        <v>11.35</v>
      </c>
    </row>
    <row r="71" spans="1:8" ht="28.5" customHeight="1">
      <c r="A71" s="31"/>
      <c r="B71" s="118"/>
      <c r="C71" s="135" t="str">
        <f>'[1]смета 2012'!$B96</f>
        <v>реконструкция подвала под помещение ТСЖ (офис, архив, склад)</v>
      </c>
      <c r="D71" s="131"/>
      <c r="E71" s="131"/>
      <c r="F71" s="131"/>
      <c r="G71" s="131">
        <f>'[1]смета 2012'!$C96*G7</f>
        <v>63127.27904150026</v>
      </c>
      <c r="H71" s="90"/>
    </row>
    <row r="72" spans="1:8" ht="12.75">
      <c r="A72" s="31"/>
      <c r="B72" s="118"/>
      <c r="C72" s="135" t="str">
        <f>'[1]смета 2012'!$B99</f>
        <v>устройство санузла в помещении охраны гаража</v>
      </c>
      <c r="D72" s="131"/>
      <c r="E72" s="131"/>
      <c r="F72" s="131"/>
      <c r="G72" s="131">
        <f>'[1]смета 2012'!$C99</f>
        <v>45000</v>
      </c>
      <c r="H72" s="90"/>
    </row>
    <row r="73" spans="1:8" ht="12.75">
      <c r="A73" s="31"/>
      <c r="B73" s="118"/>
      <c r="C73" s="135" t="str">
        <f>'[1]смета 2012'!$B100</f>
        <v>реконструкция привода гаражных ворот</v>
      </c>
      <c r="D73" s="131"/>
      <c r="E73" s="131"/>
      <c r="F73" s="131"/>
      <c r="G73" s="131">
        <f>'[1]смета 2012'!$C100</f>
        <v>45000</v>
      </c>
      <c r="H73" s="90"/>
    </row>
    <row r="74" spans="1:8" ht="12.75">
      <c r="A74" s="31"/>
      <c r="B74" s="118"/>
      <c r="C74" s="135" t="str">
        <f>'[1]смета 2012'!$B101</f>
        <v>изготовление навеса над въездом в гараж</v>
      </c>
      <c r="D74" s="131"/>
      <c r="E74" s="131"/>
      <c r="F74" s="131"/>
      <c r="G74" s="131">
        <f>'[1]смета 2012'!$C101</f>
        <v>30000</v>
      </c>
      <c r="H74" s="90"/>
    </row>
    <row r="75" spans="1:8" ht="12.75">
      <c r="A75" s="31"/>
      <c r="B75" s="118"/>
      <c r="C75" s="135" t="str">
        <f>'[1]смета 2012'!$B103</f>
        <v>установка системы фотодатчиков включения освещения гаража</v>
      </c>
      <c r="D75" s="131"/>
      <c r="E75" s="131"/>
      <c r="F75" s="131"/>
      <c r="G75" s="131">
        <f>'[1]смета 2012'!$C102</f>
        <v>15000</v>
      </c>
      <c r="H75" s="90"/>
    </row>
    <row r="76" spans="2:8" ht="12.75">
      <c r="B76" s="116" t="s">
        <v>128</v>
      </c>
      <c r="C76" s="117" t="s">
        <v>357</v>
      </c>
      <c r="D76" s="110">
        <v>362864</v>
      </c>
      <c r="E76" s="110">
        <f>E21-E70</f>
        <v>468880.65</v>
      </c>
      <c r="F76" s="110">
        <f>F24-F70</f>
        <v>43626</v>
      </c>
      <c r="G76" s="110">
        <f>G24-G70</f>
        <v>-115634.74415904193</v>
      </c>
      <c r="H76" s="27"/>
    </row>
    <row r="77" spans="2:8" ht="12.75">
      <c r="B77" s="116"/>
      <c r="C77" s="117"/>
      <c r="D77" s="110"/>
      <c r="E77" s="110"/>
      <c r="F77" s="110">
        <f>D77-E77</f>
        <v>0</v>
      </c>
      <c r="G77" s="110"/>
      <c r="H77" s="27"/>
    </row>
    <row r="78" spans="1:8" ht="12.75">
      <c r="A78" s="127"/>
      <c r="B78" s="119"/>
      <c r="C78" s="120" t="s">
        <v>131</v>
      </c>
      <c r="D78" s="121">
        <f>D68+D70+D76</f>
        <v>2573453.58</v>
      </c>
      <c r="E78" s="121">
        <f>E68+E70+E76</f>
        <v>3229004.87</v>
      </c>
      <c r="F78" s="121">
        <f>F68+F70</f>
        <v>433278.81289850664</v>
      </c>
      <c r="G78" s="110">
        <f>G68+G70</f>
        <v>415713.2790415003</v>
      </c>
      <c r="H78" s="27"/>
    </row>
    <row r="80" spans="3:7" ht="12.75">
      <c r="C80" s="138" t="s">
        <v>352</v>
      </c>
      <c r="D80" s="133"/>
      <c r="F80" s="133">
        <f>F26-F78</f>
        <v>-82010.51109719562</v>
      </c>
      <c r="G80" s="133">
        <f>G26-G78</f>
        <v>-115634.74415904196</v>
      </c>
    </row>
    <row r="81" spans="3:7" ht="12.75">
      <c r="C81" s="138" t="s">
        <v>389</v>
      </c>
      <c r="F81" s="133">
        <f>F80-F76</f>
        <v>-125636.51109719562</v>
      </c>
      <c r="G81" s="133">
        <f>G80-G76</f>
        <v>0</v>
      </c>
    </row>
    <row r="84" spans="1:8" ht="27.75">
      <c r="A84" s="191" t="s">
        <v>409</v>
      </c>
      <c r="B84" s="191"/>
      <c r="C84" s="191"/>
      <c r="D84" s="191"/>
      <c r="E84" s="191"/>
      <c r="F84" s="191"/>
      <c r="G84" s="191"/>
      <c r="H84" s="191"/>
    </row>
    <row r="85" spans="1:8" ht="27.75">
      <c r="A85" s="171"/>
      <c r="B85" s="171"/>
      <c r="C85" s="171"/>
      <c r="D85" s="171"/>
      <c r="E85" s="171"/>
      <c r="F85" s="171"/>
      <c r="G85" s="171"/>
      <c r="H85" s="171"/>
    </row>
    <row r="86" spans="2:7" ht="12.75">
      <c r="B86" s="190" t="s">
        <v>410</v>
      </c>
      <c r="C86" s="190"/>
      <c r="D86" s="190"/>
      <c r="E86" s="190"/>
      <c r="F86" s="190"/>
      <c r="G86" s="190"/>
    </row>
    <row r="87" spans="2:7" ht="12.75">
      <c r="B87" s="190"/>
      <c r="C87" s="190"/>
      <c r="D87" s="190"/>
      <c r="E87" s="190"/>
      <c r="F87" s="190"/>
      <c r="G87" s="190"/>
    </row>
    <row r="88" spans="2:7" ht="12.75">
      <c r="B88" s="190"/>
      <c r="C88" s="190"/>
      <c r="D88" s="190"/>
      <c r="E88" s="190"/>
      <c r="F88" s="190"/>
      <c r="G88" s="190"/>
    </row>
    <row r="89" spans="2:7" ht="12.75">
      <c r="B89" s="190"/>
      <c r="C89" s="190"/>
      <c r="D89" s="190"/>
      <c r="E89" s="190"/>
      <c r="F89" s="190"/>
      <c r="G89" s="190"/>
    </row>
    <row r="90" spans="2:7" ht="12.75">
      <c r="B90" s="190"/>
      <c r="C90" s="190"/>
      <c r="D90" s="190"/>
      <c r="E90" s="190"/>
      <c r="F90" s="190"/>
      <c r="G90" s="190"/>
    </row>
    <row r="91" spans="2:7" ht="12.75">
      <c r="B91" s="190"/>
      <c r="C91" s="190"/>
      <c r="D91" s="190"/>
      <c r="E91" s="190"/>
      <c r="F91" s="190"/>
      <c r="G91" s="190"/>
    </row>
    <row r="92" spans="2:7" ht="12.75">
      <c r="B92" s="190"/>
      <c r="C92" s="190"/>
      <c r="D92" s="190"/>
      <c r="E92" s="190"/>
      <c r="F92" s="190"/>
      <c r="G92" s="190"/>
    </row>
    <row r="93" spans="2:7" ht="12.75">
      <c r="B93" s="190"/>
      <c r="C93" s="190"/>
      <c r="D93" s="190"/>
      <c r="E93" s="190"/>
      <c r="F93" s="190"/>
      <c r="G93" s="190"/>
    </row>
    <row r="94" spans="2:7" ht="12.75">
      <c r="B94" s="190"/>
      <c r="C94" s="190"/>
      <c r="D94" s="190"/>
      <c r="E94" s="190"/>
      <c r="F94" s="190"/>
      <c r="G94" s="190"/>
    </row>
    <row r="95" spans="2:7" ht="12.75">
      <c r="B95" s="190"/>
      <c r="C95" s="190"/>
      <c r="D95" s="190"/>
      <c r="E95" s="190"/>
      <c r="F95" s="190"/>
      <c r="G95" s="190"/>
    </row>
    <row r="96" spans="2:7" ht="12.75">
      <c r="B96" s="190"/>
      <c r="C96" s="190"/>
      <c r="D96" s="190"/>
      <c r="E96" s="190"/>
      <c r="F96" s="190"/>
      <c r="G96" s="190"/>
    </row>
    <row r="97" spans="2:7" ht="12.75">
      <c r="B97" s="190"/>
      <c r="C97" s="190"/>
      <c r="D97" s="190"/>
      <c r="E97" s="190"/>
      <c r="F97" s="190"/>
      <c r="G97" s="190"/>
    </row>
    <row r="98" spans="2:7" ht="12.75">
      <c r="B98" s="190"/>
      <c r="C98" s="190"/>
      <c r="D98" s="190"/>
      <c r="E98" s="190"/>
      <c r="F98" s="190"/>
      <c r="G98" s="190"/>
    </row>
    <row r="99" spans="2:7" ht="12.75">
      <c r="B99" s="190"/>
      <c r="C99" s="190"/>
      <c r="D99" s="190"/>
      <c r="E99" s="190"/>
      <c r="F99" s="190"/>
      <c r="G99" s="190"/>
    </row>
    <row r="100" spans="2:7" ht="12.75">
      <c r="B100" s="190"/>
      <c r="C100" s="190"/>
      <c r="D100" s="190"/>
      <c r="E100" s="190"/>
      <c r="F100" s="190"/>
      <c r="G100" s="190"/>
    </row>
    <row r="101" spans="2:7" ht="12.75">
      <c r="B101" s="190"/>
      <c r="C101" s="190"/>
      <c r="D101" s="190"/>
      <c r="E101" s="190"/>
      <c r="F101" s="190"/>
      <c r="G101" s="190"/>
    </row>
    <row r="102" spans="2:7" ht="12.75">
      <c r="B102" s="190"/>
      <c r="C102" s="190"/>
      <c r="D102" s="190"/>
      <c r="E102" s="190"/>
      <c r="F102" s="190"/>
      <c r="G102" s="190"/>
    </row>
    <row r="103" spans="2:7" ht="12.75">
      <c r="B103" s="190"/>
      <c r="C103" s="190"/>
      <c r="D103" s="190"/>
      <c r="E103" s="190"/>
      <c r="F103" s="190"/>
      <c r="G103" s="190"/>
    </row>
    <row r="104" spans="2:7" ht="12.75">
      <c r="B104" s="190"/>
      <c r="C104" s="190"/>
      <c r="D104" s="190"/>
      <c r="E104" s="190"/>
      <c r="F104" s="190"/>
      <c r="G104" s="190"/>
    </row>
    <row r="105" spans="2:7" ht="12.75">
      <c r="B105" s="190"/>
      <c r="C105" s="190"/>
      <c r="D105" s="190"/>
      <c r="E105" s="190"/>
      <c r="F105" s="190"/>
      <c r="G105" s="190"/>
    </row>
    <row r="106" spans="2:7" ht="12.75">
      <c r="B106" s="190"/>
      <c r="C106" s="190"/>
      <c r="D106" s="190"/>
      <c r="E106" s="190"/>
      <c r="F106" s="190"/>
      <c r="G106" s="190"/>
    </row>
    <row r="107" spans="2:7" ht="12.75">
      <c r="B107" s="190"/>
      <c r="C107" s="190"/>
      <c r="D107" s="190"/>
      <c r="E107" s="190"/>
      <c r="F107" s="190"/>
      <c r="G107" s="190"/>
    </row>
    <row r="108" spans="2:7" ht="12.75">
      <c r="B108" s="190"/>
      <c r="C108" s="190"/>
      <c r="D108" s="190"/>
      <c r="E108" s="190"/>
      <c r="F108" s="190"/>
      <c r="G108" s="190"/>
    </row>
    <row r="109" spans="2:7" ht="12.75">
      <c r="B109" s="190"/>
      <c r="C109" s="190"/>
      <c r="D109" s="190"/>
      <c r="E109" s="190"/>
      <c r="F109" s="190"/>
      <c r="G109" s="190"/>
    </row>
    <row r="110" ht="25.5">
      <c r="B110" s="172" t="s">
        <v>411</v>
      </c>
    </row>
  </sheetData>
  <sheetProtection/>
  <mergeCells count="6">
    <mergeCell ref="B86:G109"/>
    <mergeCell ref="A84:H84"/>
    <mergeCell ref="F11:G11"/>
    <mergeCell ref="B11:B12"/>
    <mergeCell ref="C11:C12"/>
    <mergeCell ref="H11:H12"/>
  </mergeCells>
  <printOptions/>
  <pageMargins left="0.35433070866141736" right="0.15748031496062992" top="0.7874015748031497" bottom="0.7874015748031497" header="0.5118110236220472" footer="0.5118110236220472"/>
  <pageSetup fitToHeight="2"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Уралспецдеп1</dc:creator>
  <cp:keywords/>
  <dc:description/>
  <cp:lastModifiedBy>0305_buh5</cp:lastModifiedBy>
  <cp:lastPrinted>2011-12-19T05:45:05Z</cp:lastPrinted>
  <dcterms:created xsi:type="dcterms:W3CDTF">2010-02-15T07:44:57Z</dcterms:created>
  <dcterms:modified xsi:type="dcterms:W3CDTF">2012-02-17T03:33:42Z</dcterms:modified>
  <cp:category/>
  <cp:version/>
  <cp:contentType/>
  <cp:contentStatus/>
</cp:coreProperties>
</file>