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3"/>
  </bookViews>
  <sheets>
    <sheet name="ОДДС 2009" sheetId="1" r:id="rId1"/>
    <sheet name="Провайдеры" sheetId="2" r:id="rId2"/>
    <sheet name="Распределение льгот" sheetId="3" r:id="rId3"/>
    <sheet name="Сводный" sheetId="4" r:id="rId4"/>
    <sheet name="отчет по смете 2009" sheetId="5" r:id="rId5"/>
  </sheets>
  <definedNames>
    <definedName name="_xlnm.Print_Titles" localSheetId="0">'ОДДС 2009'!$86:$86</definedName>
    <definedName name="_xlnm.Print_Titles" localSheetId="4">'отчет по смете 2009'!$18:$19</definedName>
  </definedNames>
  <calcPr fullCalcOnLoad="1"/>
</workbook>
</file>

<file path=xl/comments1.xml><?xml version="1.0" encoding="utf-8"?>
<comments xmlns="http://schemas.openxmlformats.org/spreadsheetml/2006/main">
  <authors>
    <author>Уралспецдеп1</author>
    <author>0305_buh5</author>
  </authors>
  <commentList>
    <comment ref="M106" authorId="0">
      <text>
        <r>
          <rPr>
            <b/>
            <sz val="9"/>
            <rFont val="Tahoma"/>
            <family val="2"/>
          </rPr>
          <t>6000-возврат 3500=2500</t>
        </r>
        <r>
          <rPr>
            <sz val="9"/>
            <rFont val="Tahoma"/>
            <family val="2"/>
          </rPr>
          <t xml:space="preserve">
</t>
        </r>
      </text>
    </comment>
    <comment ref="L149" authorId="0">
      <text>
        <r>
          <rPr>
            <sz val="9"/>
            <rFont val="Tahoma"/>
            <family val="2"/>
          </rPr>
          <t xml:space="preserve">15115,8-возврат 10726,2=4389,6
</t>
        </r>
      </text>
    </comment>
    <comment ref="M208" authorId="0">
      <text>
        <r>
          <rPr>
            <b/>
            <sz val="9"/>
            <rFont val="Tahoma"/>
            <family val="2"/>
          </rPr>
          <t>6000-возврат 3500=2500</t>
        </r>
        <r>
          <rPr>
            <sz val="9"/>
            <rFont val="Tahoma"/>
            <family val="2"/>
          </rPr>
          <t xml:space="preserve">
</t>
        </r>
      </text>
    </comment>
    <comment ref="L251" authorId="0">
      <text>
        <r>
          <rPr>
            <sz val="9"/>
            <rFont val="Tahoma"/>
            <family val="2"/>
          </rPr>
          <t xml:space="preserve">15115,8-возврат 10726,2=4389,6
</t>
        </r>
      </text>
    </comment>
    <comment ref="L194" authorId="1">
      <text>
        <r>
          <rPr>
            <b/>
            <sz val="8"/>
            <rFont val="Tahoma"/>
            <family val="0"/>
          </rPr>
          <t>990 руб.??</t>
        </r>
        <r>
          <rPr>
            <sz val="8"/>
            <rFont val="Tahoma"/>
            <family val="0"/>
          </rPr>
          <t xml:space="preserve">
</t>
        </r>
      </text>
    </comment>
    <comment ref="M194" authorId="1">
      <text>
        <r>
          <rPr>
            <b/>
            <sz val="8"/>
            <rFont val="Tahoma"/>
            <family val="0"/>
          </rPr>
          <t>866 руб. ???</t>
        </r>
        <r>
          <rPr>
            <sz val="8"/>
            <rFont val="Tahoma"/>
            <family val="0"/>
          </rPr>
          <t xml:space="preserve">
</t>
        </r>
      </text>
    </comment>
    <comment ref="L275" authorId="1">
      <text>
        <r>
          <rPr>
            <sz val="8"/>
            <rFont val="Tahoma"/>
            <family val="0"/>
          </rPr>
          <t>Снятие подотчет</t>
        </r>
      </text>
    </comment>
    <comment ref="J193" authorId="1">
      <text>
        <r>
          <rPr>
            <b/>
            <sz val="8"/>
            <rFont val="Tahoma"/>
            <family val="0"/>
          </rPr>
          <t>переплата НДФЛ</t>
        </r>
        <r>
          <rPr>
            <sz val="8"/>
            <rFont val="Tahoma"/>
            <family val="0"/>
          </rPr>
          <t xml:space="preserve">
</t>
        </r>
      </text>
    </comment>
    <comment ref="M193" authorId="0">
      <text>
        <r>
          <rPr>
            <b/>
            <sz val="9"/>
            <rFont val="Tahoma"/>
            <family val="2"/>
          </rPr>
          <t>переплата НДФЛ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<sst xmlns="http://schemas.openxmlformats.org/spreadsheetml/2006/main" count="605" uniqueCount="335">
  <si>
    <t>№ п/п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</si>
  <si>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</si>
  <si>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</si>
  <si>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</si>
  <si>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</si>
  <si>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</si>
  <si>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</si>
  <si>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</si>
  <si>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</si>
  <si>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</si>
  <si>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</si>
  <si>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</si>
  <si>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</si>
  <si>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</si>
  <si>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квартиры</t>
  </si>
  <si>
    <t>офисы</t>
  </si>
  <si>
    <t>гаражи</t>
  </si>
  <si>
    <t>Отопление</t>
  </si>
  <si>
    <t>ХВС</t>
  </si>
  <si>
    <t>ГВС подача</t>
  </si>
  <si>
    <t>ГВС нагрев</t>
  </si>
  <si>
    <t>Водоотведение</t>
  </si>
  <si>
    <t>Электроэнергия</t>
  </si>
  <si>
    <t>Пени</t>
  </si>
  <si>
    <t>РЕЗУЛЬТАТЫ ДЕЯТЕЛЬНОСТИ ПОМЕСЯЧНО ТСЖ"ТАТИЩЕВА,92"</t>
  </si>
  <si>
    <t>Выставлено счетов поставщиками, начислено расходов ТСЖ</t>
  </si>
  <si>
    <t>ТСЖ "Прибрежный</t>
  </si>
  <si>
    <t>председатель</t>
  </si>
  <si>
    <t>бухгалтер по начислениям</t>
  </si>
  <si>
    <t>дворник, уборщицы</t>
  </si>
  <si>
    <t>энергетик</t>
  </si>
  <si>
    <t>оплата бухгалтера по начислениям</t>
  </si>
  <si>
    <t>оплата дворника, уборщиц</t>
  </si>
  <si>
    <t>диспетчерское обслуживание</t>
  </si>
  <si>
    <t>ООО "РЭП "Горкоммунсервис"</t>
  </si>
  <si>
    <t>комплекс услуг по сопровождению работы ТСЖ и обслуживанию дома</t>
  </si>
  <si>
    <t>пуско-наладочные работы по системе отопления дома</t>
  </si>
  <si>
    <t>ООО "Аспект"</t>
  </si>
  <si>
    <t>ООО "Интерэнерго"</t>
  </si>
  <si>
    <t>обслуживание общедом. узлов учета теплоэнергии</t>
  </si>
  <si>
    <t>обслуживание ИТП и приборов КИПиА</t>
  </si>
  <si>
    <t>поверка термопреобразователей</t>
  </si>
  <si>
    <t>ремонт расходомера Метран</t>
  </si>
  <si>
    <t xml:space="preserve">восстановление общедом. узлов учета теплоэнергии </t>
  </si>
  <si>
    <t>обслуживание системы сбора показаний индивидуальных приборов учета</t>
  </si>
  <si>
    <t>ООО "Лифтмонтаж-1"</t>
  </si>
  <si>
    <t>техобслуживание и ремонт лифтов</t>
  </si>
  <si>
    <t>перенастройка системы диспетчеризации лифтов</t>
  </si>
  <si>
    <t>ООО "УИЦ "Союзлифтмонтаж" (техосвидетельствование лифтов)</t>
  </si>
  <si>
    <t>УЖКХ Верх-Исетского района (паспортное обслуживание)</t>
  </si>
  <si>
    <t>ООО "СВД-Инжиниринг" (ремонт и обслуживание домофонов)</t>
  </si>
  <si>
    <t>ООО "Акадо-Екатеринбург" (ремонт и обслуживание домофонов)</t>
  </si>
  <si>
    <t>ЗАО "Городская дезинфекционная станция" (санитарная обработка подвалов от грызунов)</t>
  </si>
  <si>
    <t>ООО "Фирма Растер" (санитарная обработка подвала 5-7 под. от насекомых)</t>
  </si>
  <si>
    <t>Филиал ООО СК "Цюрих. Ритейл" в г. Екатеринбурге (страхование лифтов)</t>
  </si>
  <si>
    <t>ОАО "Русь-Банк-Урал" расчетно-кассовое обслуживание</t>
  </si>
  <si>
    <t>ООО "Единый расчетный центр" услуги оператора по договору о приеме платежей</t>
  </si>
  <si>
    <t>ООО "Центр Бонус" обновление и сопровождение программ</t>
  </si>
  <si>
    <t>расчетное обслуживание</t>
  </si>
  <si>
    <t>кассовое обслуживание</t>
  </si>
  <si>
    <t>покупка ПО "Арча" -Учет доходов физических лиц"</t>
  </si>
  <si>
    <t>покупка ПО "Учет расчетов и денежных средств" Альфа</t>
  </si>
  <si>
    <t>ПО "Расчет квартплаты", покупка, обновление, введение штрих-кода</t>
  </si>
  <si>
    <t>ООО  "ПО"АНТЭП" ремонт автоматических ворот гаража</t>
  </si>
  <si>
    <t>ООО "Ютера Электрик" электротовары, лампы</t>
  </si>
  <si>
    <t>ООО "Химтес-Электро" электротовары, лампы</t>
  </si>
  <si>
    <t>ЗАО "Промприбор" манометры 4 шт.</t>
  </si>
  <si>
    <t>ЗАО "УЦСК"Сантехкомплект-Урал" сантехматериалы</t>
  </si>
  <si>
    <t>ООО "Стекло" изготовление и установка зеркал в лифты</t>
  </si>
  <si>
    <t>ООО "ИВП Крейт" датчики давления Метран 2 шт.</t>
  </si>
  <si>
    <t>ООО "ВИЗАВИ" аренда зала для проведения общего собрания</t>
  </si>
  <si>
    <t>ООО "ДЭП "Эдельвейс" уборка и вывоз снега техникой</t>
  </si>
  <si>
    <t>ЕМУП "Спецавтобаза"</t>
  </si>
  <si>
    <t>МУП "Водоканал"</t>
  </si>
  <si>
    <t>ОАО "МК "Уралметпром"</t>
  </si>
  <si>
    <t>ОАО "Екатеринбургэнергосбыт"</t>
  </si>
  <si>
    <t>ООО "СБЕРЭНЕРГО" светильники эн/сберегающие антивандальные 100 шт.)</t>
  </si>
  <si>
    <t>агент.вознагр. за ведение договоров на обслуживание (комп. затрат на ПП, энергетика, управляющего)</t>
  </si>
  <si>
    <t>агент.вознагр. за ведение договоров на коммун. ресурсы (комп. затрат на ПП, энергетика, управляющего)</t>
  </si>
  <si>
    <t>оплата рабочих (техник, электрик, сантехник, дежурн. сантехник, дежурн. электрик)</t>
  </si>
  <si>
    <t>"СБ "ГУБЕРНСКИЙ"(ОАО) расчетное обслуживание</t>
  </si>
  <si>
    <t>ООО "Компания "Экосистема" прибретение контейнеров ТБО 3 шт.</t>
  </si>
  <si>
    <t>Содержание и ремонт общедомового имущества</t>
  </si>
  <si>
    <t>Взносы на капитальный ремонт</t>
  </si>
  <si>
    <t>АВАНСОВЫЕ ОТЧЕТЫ</t>
  </si>
  <si>
    <t>уборщицы договоры подряда №1, №2</t>
  </si>
  <si>
    <t>Подкорытов В.А. сварочные работы ремонт забора договор подряда №4</t>
  </si>
  <si>
    <t>Корелина И.А.</t>
  </si>
  <si>
    <t>ремонт кафельной плитки в подъездах договор подряда №3</t>
  </si>
  <si>
    <t>Корелина И.А. покраска забора договор подряда №5</t>
  </si>
  <si>
    <t>Богданов М.И.</t>
  </si>
  <si>
    <t>сварочные работы на стояке ГВС договор подряда №6</t>
  </si>
  <si>
    <t>сварочные работы демонтаж-монтаж расходомера ХВС договор подряда №7</t>
  </si>
  <si>
    <t>прокос газонов договор подряда №8</t>
  </si>
  <si>
    <t>Марков А.А. прокос газонов договор подряда №9</t>
  </si>
  <si>
    <t>Зеленый В.А.</t>
  </si>
  <si>
    <t>подготовка 2 ИТП к пуску тепла договор подряда № 11</t>
  </si>
  <si>
    <t>установка регулир. арматуры на стояки подъездов договор подряда № 12</t>
  </si>
  <si>
    <t>Музафаров Р.Ф. замена привода автоматических ворот гаража договор подряда № 13</t>
  </si>
  <si>
    <t>ремонт насосов ХВС 3 шт.</t>
  </si>
  <si>
    <t>почтовые расходы</t>
  </si>
  <si>
    <t>канцелярские расходы</t>
  </si>
  <si>
    <t>семинары, обучение</t>
  </si>
  <si>
    <t>хозтовары</t>
  </si>
  <si>
    <t>инструмент и МБП</t>
  </si>
  <si>
    <t>лакокрасочные материалы,кисти,щетки</t>
  </si>
  <si>
    <t>кафель, клей</t>
  </si>
  <si>
    <t>метизы, крепеж</t>
  </si>
  <si>
    <t>электрозапчасти и лампы</t>
  </si>
  <si>
    <t>общедомовой водомер ХВС</t>
  </si>
  <si>
    <t>войлок, защелки, шпингалеты</t>
  </si>
  <si>
    <t>сантехматериалы</t>
  </si>
  <si>
    <t>Налог на УСН</t>
  </si>
  <si>
    <t>оргтехника (ПК, МФУ, картриджи)</t>
  </si>
  <si>
    <t>Плата провайдеров за размещение оборудования связи в доме</t>
  </si>
  <si>
    <t>ООО "Средураллифт" техобслуживание ЛДСС (лифтовой диспетчерской сигнальной связи)</t>
  </si>
  <si>
    <t>Госпошлина в суд по иску к Горбунову А.Л. Кв. 188)</t>
  </si>
  <si>
    <t>ООО "АРТ" клумбы бетонные 10 шт.</t>
  </si>
  <si>
    <t>клумбы бетонные 4 шт.</t>
  </si>
  <si>
    <t>Начислено собственникам, арендаторам</t>
  </si>
  <si>
    <t>ИП Мутовкин В.П. уборка снега техникой</t>
  </si>
  <si>
    <t>ИП Ледянкина Е.Ю. вывоз снега</t>
  </si>
  <si>
    <t>Оплата труда, включая РК, ЕСН, НС и ПЗ, НДФЛ, в том числе:</t>
  </si>
  <si>
    <t>Оплачено собственниками, арендаторами</t>
  </si>
  <si>
    <t>Оплачено счетов поставщикам, произведено расходов ТСЖ</t>
  </si>
  <si>
    <t>Прочие расходы</t>
  </si>
  <si>
    <t>Перерасчет</t>
  </si>
  <si>
    <t>Начислено арендаторам</t>
  </si>
  <si>
    <t>ООО "АКАДО-Екатеринбург"</t>
  </si>
  <si>
    <t>ООО "Комтехцентр" (ТМ Планета)</t>
  </si>
  <si>
    <t>ООО «Конвекс-Восток» (НТЦ «Интек»)</t>
  </si>
  <si>
    <t>ООО ЧОП "Ланцелот"</t>
  </si>
  <si>
    <t>ООО «НТЦ Новатор»</t>
  </si>
  <si>
    <t>ООО "Инсис"</t>
  </si>
  <si>
    <t>ООО «Престиж-Интернет» (Энфорта)</t>
  </si>
  <si>
    <t>ЕФ ООО «СЦС Совинтел» (Билайн-Бизнес)</t>
  </si>
  <si>
    <t>ЗАО «Телефонная компания-Урал» (Синтерра-Урал)</t>
  </si>
  <si>
    <t>ЗАО «Урал-ТрансТелеКом»</t>
  </si>
  <si>
    <t>ИТОГО</t>
  </si>
  <si>
    <t>Оплачено арендаторами</t>
  </si>
  <si>
    <t>Госпошлина в суд по иску к Горбунову А.Л. кв. 188)</t>
  </si>
  <si>
    <t>расходы 2008 года</t>
  </si>
  <si>
    <t>общедомовые водомеры ХВС, ГВС</t>
  </si>
  <si>
    <t>Доходы</t>
  </si>
  <si>
    <t>План, руб.</t>
  </si>
  <si>
    <t>Факт,руб.</t>
  </si>
  <si>
    <t>Долг  ТСЖ перед поставщиками, руб.</t>
  </si>
  <si>
    <t>Итого активы:</t>
  </si>
  <si>
    <t>Собственные средства ТСЖ (капремонт, экономия)</t>
  </si>
  <si>
    <t>Общедомовое потребление комм.услуг (корр. за 2009 год)</t>
  </si>
  <si>
    <t>Собственные средства ТСЖ (капремонт, экономия) с учетом корректировки</t>
  </si>
  <si>
    <t>Установка энергосберегающих светильников с датчиками в МОП</t>
  </si>
  <si>
    <t>приобретение моечной машины КЕРХЕР для влажной уборки территории</t>
  </si>
  <si>
    <t>установка столбиков у выходов из подъездов</t>
  </si>
  <si>
    <t>приобретение контейнеров ТБО</t>
  </si>
  <si>
    <t>приобретение оргтехники (ПК, принтер-ксерокс)</t>
  </si>
  <si>
    <t>установка зеркал в лифтах</t>
  </si>
  <si>
    <t>Установка энергосбер. светильников в МОП</t>
  </si>
  <si>
    <t>СПРАВОЧНО:</t>
  </si>
  <si>
    <t>Итого обязательств:</t>
  </si>
  <si>
    <t>УТВЕРЖДЕНО:</t>
  </si>
  <si>
    <t xml:space="preserve">ОТЧЕТ ПО ИСПОЛНЕНИЮ СМЕТЫ ДОХОДОВ И РАСХОДОВ </t>
  </si>
  <si>
    <t>на управление, содержание и ремонт общего имущества</t>
  </si>
  <si>
    <t>ТСЖ "ТАТИЩЕВА,92" на 2009 год.</t>
  </si>
  <si>
    <t>Справочная информация</t>
  </si>
  <si>
    <t>Кол-во</t>
  </si>
  <si>
    <t>% к общей площади</t>
  </si>
  <si>
    <t>Площадь жилых помещений, кв.м.</t>
  </si>
  <si>
    <t>Площадь офисов, кв.м.</t>
  </si>
  <si>
    <t>Площадь гаражных боксов, кв.м.</t>
  </si>
  <si>
    <t>ИТОГО общая площадь, кв.м.:</t>
  </si>
  <si>
    <t>Количество лифтов,шт.</t>
  </si>
  <si>
    <t>Количество подъездов, шт.</t>
  </si>
  <si>
    <t>Количество квартир, шт.</t>
  </si>
  <si>
    <t>Количество офисов, шт.</t>
  </si>
  <si>
    <t>Количество гаражных боксов, шт.</t>
  </si>
  <si>
    <t>Статьи доходов и расходов</t>
  </si>
  <si>
    <t>Сумма, руб.</t>
  </si>
  <si>
    <t>Примечание</t>
  </si>
  <si>
    <t>в год</t>
  </si>
  <si>
    <t>в месяц</t>
  </si>
  <si>
    <t>тариф</t>
  </si>
  <si>
    <t>ДОХОДЫ</t>
  </si>
  <si>
    <t>1.1.</t>
  </si>
  <si>
    <t>Остаток на расчетном счете на 01.01.2010 г.</t>
  </si>
  <si>
    <t>1.2.</t>
  </si>
  <si>
    <t>Дебиторская задолженность на 01.09.2010 г.</t>
  </si>
  <si>
    <t>1.3.</t>
  </si>
  <si>
    <t>Плата за содержание и ремонт общего имущества в доме</t>
  </si>
  <si>
    <t>от собственников жилых помещений</t>
  </si>
  <si>
    <t>руб. / кв.м.</t>
  </si>
  <si>
    <t>от собственников офисов</t>
  </si>
  <si>
    <t>от собственников гаражных боксов</t>
  </si>
  <si>
    <t>1.4.</t>
  </si>
  <si>
    <t>Доходы от сдачи в аренду общего имущества ТСЖ</t>
  </si>
  <si>
    <t>1.5.</t>
  </si>
  <si>
    <t>1.6.</t>
  </si>
  <si>
    <t>1.7.</t>
  </si>
  <si>
    <t>Поступления за коммун. услуги (вода, тепло, канализация, эл.энергия)</t>
  </si>
  <si>
    <t>1.8.</t>
  </si>
  <si>
    <t>ИТОГО ДОХОДОВ:</t>
  </si>
  <si>
    <t>РАСХОДЫ</t>
  </si>
  <si>
    <t>2.1.</t>
  </si>
  <si>
    <t>Кредиторская задолженность на 01.09.09 г.</t>
  </si>
  <si>
    <t>2.2.</t>
  </si>
  <si>
    <t>Административно-управленческие расходы ТСЖ, в том числе:</t>
  </si>
  <si>
    <t>2.2.1.</t>
  </si>
  <si>
    <t>расчетно-кассовое обслуживание в банке (ОАО "Русь-Банк-Урал")</t>
  </si>
  <si>
    <t>2.2.2.</t>
  </si>
  <si>
    <t>налог на УСН</t>
  </si>
  <si>
    <t>2.2.3.</t>
  </si>
  <si>
    <t>фонд оплаты труда председателя+ЕСН+РК</t>
  </si>
  <si>
    <t>2.2.4.</t>
  </si>
  <si>
    <t>проведение общего собрания в отеле ВИЗАВИ</t>
  </si>
  <si>
    <t>госпошлина по судебному иску к Горбунову А.Л. кв.188</t>
  </si>
  <si>
    <t>обновление программы начисления квартплаты Бонус</t>
  </si>
  <si>
    <t>2.3.</t>
  </si>
  <si>
    <t xml:space="preserve"> Эксплуатационные расходы на содержание и обслуживание общего имущества</t>
  </si>
  <si>
    <t>2.3.1.</t>
  </si>
  <si>
    <t>техническое обслуживание инженерного, теплового, сантехнического и электрического оборудования, начисление оплаты, печать и доставка квитанций и счетов (ТСЖ "Прибрежный")</t>
  </si>
  <si>
    <t>2.3.2.</t>
  </si>
  <si>
    <t>техническое обслуживание приборов КИП и А (ООО "Аспект")</t>
  </si>
  <si>
    <t>2.3.3.</t>
  </si>
  <si>
    <t>техническое обслуживание приборов учета тепловой энергии (ООО "Аспект")</t>
  </si>
  <si>
    <t>2.3.4.</t>
  </si>
  <si>
    <t>обработка огнезащитным средством несущих металлоконструкций в жилфонде и гаражных боксах</t>
  </si>
  <si>
    <t>2.3.5.</t>
  </si>
  <si>
    <t>ремонт расходомера Метран 300 D=80 мм</t>
  </si>
  <si>
    <t>покупка манометров 4 шт. для замены</t>
  </si>
  <si>
    <t>ремонт автоматических ворот гаража</t>
  </si>
  <si>
    <t>замена замка на входе № 1 в гараж</t>
  </si>
  <si>
    <t>покупка регулируемой запорной арматуры для стояков подъездов</t>
  </si>
  <si>
    <t>установка регулируемой запорной арматуры на стояки подъездов</t>
  </si>
  <si>
    <t>покупка датчиков давления 2 шт.</t>
  </si>
  <si>
    <t>ремонт насосов ХВС (3 шт.)</t>
  </si>
  <si>
    <t>сварочные работы по аварии на стояке ГВС 6 подъезд</t>
  </si>
  <si>
    <t xml:space="preserve">поверка термопреобразователей </t>
  </si>
  <si>
    <t>2.4.</t>
  </si>
  <si>
    <t>Итого затраты на управление и содержание общего имущества (стр. 2.2.+стр. 2.3.)</t>
  </si>
  <si>
    <t>2.5.</t>
  </si>
  <si>
    <t>Итого затраты на управление и содержание общего имущества за вычетом  дополнительных поступлений  (стр. 2.4. - стр. 1.4. - стр.1.6.)</t>
  </si>
  <si>
    <t>общий сбор (жф +офисы +гаражи)</t>
  </si>
  <si>
    <t>2.6.</t>
  </si>
  <si>
    <t xml:space="preserve"> Допзатраты на содержание общего имущества жилых помещений и офисов (стр. 2.7. + стр. 2.8. + стр. 2.9.)</t>
  </si>
  <si>
    <t>допсбор с жф и офисов</t>
  </si>
  <si>
    <t>2.7.</t>
  </si>
  <si>
    <t xml:space="preserve"> Эксплуатационные расходы на содержание и обслуживание общего имущества по договору с ТСЖ "Прибрежный", в том числе:</t>
  </si>
  <si>
    <t>уборка мест общего пользования (3300 м2), уборка придомовой территории, поддержание надлежащего санитарного состояния (ТСЖ "Прибрежный")</t>
  </si>
  <si>
    <t>промывка систем ГВС (ООО "Аспект")</t>
  </si>
  <si>
    <t>покупка нового водомера ХВС по предписанию Водоканала</t>
  </si>
  <si>
    <t>восстановление общедомовых узлов учета тепловой энергии</t>
  </si>
  <si>
    <t>подготовка теплопунктов к отопит сезону (договор подряда)</t>
  </si>
  <si>
    <t>замена водомера ХВС по предписанию Водоканала</t>
  </si>
  <si>
    <t>дезинскеционная обрабока подвала от насекомых</t>
  </si>
  <si>
    <t>покупка хозтоваров</t>
  </si>
  <si>
    <t>приобретение инструмента и МБП</t>
  </si>
  <si>
    <t>покупка электротоваров и ламп</t>
  </si>
  <si>
    <t>обслуживание системы телеметрии (ООО "Интерэнерго")</t>
  </si>
  <si>
    <t>обслуживание системы противодымной защиты (ООО "СТЭМ-ПРО")</t>
  </si>
  <si>
    <t>обслуживание лифтовой связи (ООО "Средураллифт")</t>
  </si>
  <si>
    <t>техобслуживание лифтов (ООО "Лифтмонтаж-1")</t>
  </si>
  <si>
    <t>техосвидетельствование лифтов (Центр сертификации Союзлифтмонтаж)</t>
  </si>
  <si>
    <t>страхование лифтов (ООО "СК "Уралрос")</t>
  </si>
  <si>
    <t>санитарная обработка подвалов (ОАО "Екатеринбургская дезинфекционная станция")</t>
  </si>
  <si>
    <t>очистка кровли от мусора</t>
  </si>
  <si>
    <t>обслуживание и ремонт домофонов (ООО "Акадо")</t>
  </si>
  <si>
    <t>паспортное обслуживание (МУ УЖКХ Верх-Исетского района)</t>
  </si>
  <si>
    <t>2.8.</t>
  </si>
  <si>
    <t>Благоустройство</t>
  </si>
  <si>
    <t>прокос газонов</t>
  </si>
  <si>
    <t>ремонт, покраска детских площадок, заборов</t>
  </si>
  <si>
    <t>сварочные работы по ремонту забора, баскетбольного кольца</t>
  </si>
  <si>
    <t>покраска забора (материалы)</t>
  </si>
  <si>
    <t>покраска забора (работа)</t>
  </si>
  <si>
    <t>уборка механизированных способом и вывоз снега (ИП)</t>
  </si>
  <si>
    <t>вывоз твердых бытовых отходов (ЕМУП "Спецавтобаза")</t>
  </si>
  <si>
    <t>завоз песка, земли, отсева</t>
  </si>
  <si>
    <t>2.9.</t>
  </si>
  <si>
    <t>утепление дверей на переходных лоджиях и в подъездах</t>
  </si>
  <si>
    <t>ремонт кафельной плитки в подъездах(материалы)</t>
  </si>
  <si>
    <t>ремонт кафельной плитки в подъездах(работа)</t>
  </si>
  <si>
    <t>2.10.</t>
  </si>
  <si>
    <t>Капитальный ремонт и реконструкция</t>
  </si>
  <si>
    <t xml:space="preserve">Шумоизоляция (замена) насосной станции 7 подъезд </t>
  </si>
  <si>
    <t>2.11.</t>
  </si>
  <si>
    <t>Фонд капитального ремонта (стр. 1.5. - стр. 2.10.)</t>
  </si>
  <si>
    <t>2.12.</t>
  </si>
  <si>
    <t>Резервный фонд (стр. 1.8. - сумма (стр. 2.1. - стр. 2.11.))</t>
  </si>
  <si>
    <t>2.13.</t>
  </si>
  <si>
    <t>Оплата коммунальных услуг</t>
  </si>
  <si>
    <t>2.14.</t>
  </si>
  <si>
    <t>ИТОГО РАСХОДОВ:</t>
  </si>
  <si>
    <t>САЛЬДО ДОХОДОВ-РАСХОДОВ</t>
  </si>
  <si>
    <t>Остаток на счете в банке на 01.01.2010</t>
  </si>
  <si>
    <t>непредвиденные расходы на ремонты</t>
  </si>
  <si>
    <t>промывка теплообменников системы отопления дома и гаража</t>
  </si>
  <si>
    <t>смена обратного трубопровода системы ГВС, непредвиденные расходы</t>
  </si>
  <si>
    <t>штраф по постановлению Управления жилищной инспекции</t>
  </si>
  <si>
    <t>ведение бухучета + юридическое и документационное сопровождение + технический надзор за эксплуатацией дома по договору с обслуж организацией ООО "РЭП "Горкоммунсервис", услуги дежурной аварийной службы</t>
  </si>
  <si>
    <t>возврат ошибочно зачисленных сумм</t>
  </si>
  <si>
    <t>Текущие ремонты общего имущества дома устранение поломок (двери, окна, доводчики, ручки, светильники и т.д.)</t>
  </si>
  <si>
    <t>Факт кол-во</t>
  </si>
  <si>
    <t>Долг перед ТСЖ на 01.01.2010, руб.</t>
  </si>
  <si>
    <t>Выставлено счетов поставщиками,произведено расходов ТСЖ</t>
  </si>
  <si>
    <t>Выставлено к оплате по факту за 2009 год, руб.</t>
  </si>
  <si>
    <t>Оплачено по факту за 2009 год, руб.</t>
  </si>
  <si>
    <t>Задолженность перед ТСЖ, руб.</t>
  </si>
  <si>
    <t>Задолжен-ность ТСЖ перед поставщиками, руб.</t>
  </si>
  <si>
    <t>Доля долгов к начисленному, %</t>
  </si>
  <si>
    <t>Комиссия банка (справочно)</t>
  </si>
  <si>
    <t>Итого без комиссии банка</t>
  </si>
  <si>
    <t>установка клумб у выходов из подъездов</t>
  </si>
  <si>
    <t>Прочие поступления (оплата льгот, пени и пр.)</t>
  </si>
  <si>
    <t>проверка</t>
  </si>
  <si>
    <t>САЛЬДО ПО ОПЛАТЕ КОММУНАЛЬНЫХ УСЛУГ</t>
  </si>
  <si>
    <t>+СГБ 1825 - касса 5000 = -3175</t>
  </si>
  <si>
    <t>Проверка</t>
  </si>
  <si>
    <t>Возврат излишне перечисленных сумм</t>
  </si>
  <si>
    <t>Обороты по р/сч Русь-Банк-Урал</t>
  </si>
  <si>
    <t>Прочие поступления</t>
  </si>
  <si>
    <t>Итого</t>
  </si>
  <si>
    <t>Финансирование льгот на оплату коммунальных услуг из бюджета, руб.</t>
  </si>
  <si>
    <t>Доля коммунальных услуг в счете, %</t>
  </si>
  <si>
    <t>от __________.2010 г.</t>
  </si>
  <si>
    <t xml:space="preserve">Протокол общего собрания </t>
  </si>
  <si>
    <t>членов ТСЖ "Татищева,92" № ____</t>
  </si>
  <si>
    <t>Разница</t>
  </si>
  <si>
    <t>Расходы 2009 года за счет средств капзатрат и капремонта</t>
  </si>
  <si>
    <t>справочно</t>
  </si>
  <si>
    <t>ПРОЕКТ</t>
  </si>
  <si>
    <t>экономия</t>
  </si>
  <si>
    <t>итого экономия</t>
  </si>
  <si>
    <t>по капремонту</t>
  </si>
  <si>
    <t>перерасход</t>
  </si>
  <si>
    <t>ООО "Компания "Экосистема" приобретение контейнеров ТБО 3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</si>
</sst>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0.000%"/>
    <numFmt numFmtId="169" formatCode="#,##0.0000"/>
  </numFmts>
  <fonts count="38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2"/>
      <color indexed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24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11" fillId="0" borderId="10" xfId="53" applyNumberFormat="1" applyFont="1" applyBorder="1">
      <alignment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left" wrapText="1"/>
      <protection/>
    </xf>
    <xf numFmtId="165" fontId="11" fillId="0" borderId="10" xfId="53" applyNumberFormat="1" applyFont="1" applyBorder="1" applyAlignment="1">
      <alignment horizontal="center" wrapText="1"/>
      <protection/>
    </xf>
    <xf numFmtId="165" fontId="11" fillId="0" borderId="0" xfId="53" applyNumberFormat="1" applyFont="1" applyBorder="1" applyAlignment="1">
      <alignment wrapText="1"/>
      <protection/>
    </xf>
    <xf numFmtId="165" fontId="11" fillId="0" borderId="10" xfId="53" applyNumberFormat="1" applyFont="1" applyBorder="1" applyAlignment="1">
      <alignment horizontal="center"/>
      <protection/>
    </xf>
    <xf numFmtId="166" fontId="11" fillId="0" borderId="0" xfId="59" applyNumberFormat="1" applyFont="1" applyBorder="1" applyAlignment="1">
      <alignment/>
    </xf>
    <xf numFmtId="0" fontId="11" fillId="0" borderId="0" xfId="53" applyFont="1" applyBorder="1" applyAlignment="1">
      <alignment horizontal="center" wrapText="1"/>
      <protection/>
    </xf>
    <xf numFmtId="0" fontId="11" fillId="0" borderId="0" xfId="53" applyFont="1" applyFill="1" applyBorder="1" applyAlignment="1">
      <alignment horizontal="right" wrapText="1"/>
      <protection/>
    </xf>
    <xf numFmtId="165" fontId="11" fillId="0" borderId="0" xfId="53" applyNumberFormat="1" applyFont="1" applyBorder="1" applyAlignment="1">
      <alignment horizontal="center"/>
      <protection/>
    </xf>
    <xf numFmtId="166" fontId="11" fillId="0" borderId="0" xfId="59" applyNumberFormat="1" applyFont="1" applyBorder="1" applyAlignment="1">
      <alignment horizontal="center"/>
    </xf>
    <xf numFmtId="0" fontId="11" fillId="0" borderId="0" xfId="53" applyFont="1" applyBorder="1">
      <alignment/>
      <protection/>
    </xf>
    <xf numFmtId="3" fontId="11" fillId="0" borderId="10" xfId="53" applyNumberFormat="1" applyFont="1" applyBorder="1" applyAlignment="1">
      <alignment horizontal="center"/>
      <protection/>
    </xf>
    <xf numFmtId="3" fontId="11" fillId="0" borderId="0" xfId="53" applyNumberFormat="1" applyFont="1" applyBorder="1" applyAlignment="1">
      <alignment horizontal="center"/>
      <protection/>
    </xf>
    <xf numFmtId="4" fontId="11" fillId="0" borderId="0" xfId="53" applyNumberFormat="1" applyFont="1" applyBorder="1" applyAlignment="1">
      <alignment horizontal="center"/>
      <protection/>
    </xf>
    <xf numFmtId="0" fontId="12" fillId="0" borderId="10" xfId="53" applyFont="1" applyBorder="1" applyAlignment="1">
      <alignment horizontal="left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3" fontId="12" fillId="0" borderId="10" xfId="53" applyNumberFormat="1" applyFont="1" applyBorder="1">
      <alignment/>
      <protection/>
    </xf>
    <xf numFmtId="3" fontId="11" fillId="0" borderId="10" xfId="53" applyNumberFormat="1" applyFont="1" applyBorder="1">
      <alignment/>
      <protection/>
    </xf>
    <xf numFmtId="9" fontId="11" fillId="0" borderId="0" xfId="60" applyFont="1" applyAlignment="1">
      <alignment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horizontal="right" wrapText="1"/>
      <protection/>
    </xf>
    <xf numFmtId="4" fontId="11" fillId="0" borderId="10" xfId="53" applyNumberFormat="1" applyFont="1" applyBorder="1" applyAlignment="1">
      <alignment horizontal="right"/>
      <protection/>
    </xf>
    <xf numFmtId="0" fontId="12" fillId="0" borderId="10" xfId="53" applyFont="1" applyFill="1" applyBorder="1" applyAlignment="1">
      <alignment horizontal="right" wrapText="1"/>
      <protection/>
    </xf>
    <xf numFmtId="3" fontId="12" fillId="0" borderId="0" xfId="53" applyNumberFormat="1" applyFont="1" applyBorder="1">
      <alignment/>
      <protection/>
    </xf>
    <xf numFmtId="4" fontId="12" fillId="0" borderId="0" xfId="53" applyNumberFormat="1" applyFont="1" applyBorder="1">
      <alignment/>
      <protection/>
    </xf>
    <xf numFmtId="4" fontId="11" fillId="0" borderId="0" xfId="53" applyNumberFormat="1" applyFont="1">
      <alignment/>
      <protection/>
    </xf>
    <xf numFmtId="0" fontId="11" fillId="0" borderId="0" xfId="53" applyFont="1" applyAlignment="1">
      <alignment wrapText="1"/>
      <protection/>
    </xf>
    <xf numFmtId="3" fontId="11" fillId="0" borderId="0" xfId="53" applyNumberFormat="1" applyFont="1">
      <alignment/>
      <protection/>
    </xf>
    <xf numFmtId="0" fontId="12" fillId="0" borderId="10" xfId="53" applyFont="1" applyBorder="1" applyAlignment="1">
      <alignment horizontal="left"/>
      <protection/>
    </xf>
    <xf numFmtId="0" fontId="12" fillId="0" borderId="10" xfId="53" applyFont="1" applyFill="1" applyBorder="1" applyAlignment="1">
      <alignment wrapText="1"/>
      <protection/>
    </xf>
    <xf numFmtId="4" fontId="12" fillId="0" borderId="10" xfId="53" applyNumberFormat="1" applyFont="1" applyBorder="1">
      <alignment/>
      <protection/>
    </xf>
    <xf numFmtId="0" fontId="11" fillId="0" borderId="10" xfId="53" applyFont="1" applyBorder="1" applyAlignment="1">
      <alignment horizontal="left"/>
      <protection/>
    </xf>
    <xf numFmtId="3" fontId="13" fillId="0" borderId="10" xfId="53" applyNumberFormat="1" applyFont="1" applyBorder="1">
      <alignment/>
      <protection/>
    </xf>
    <xf numFmtId="0" fontId="11" fillId="0" borderId="10" xfId="53" applyFont="1" applyFill="1" applyBorder="1" applyAlignment="1">
      <alignment horizontal="right" wrapText="1"/>
      <protection/>
    </xf>
    <xf numFmtId="4" fontId="14" fillId="0" borderId="0" xfId="53" applyNumberFormat="1" applyFont="1">
      <alignment/>
      <protection/>
    </xf>
    <xf numFmtId="1" fontId="11" fillId="0" borderId="10" xfId="53" applyNumberFormat="1" applyFont="1" applyBorder="1" applyAlignment="1">
      <alignment horizontal="left"/>
      <protection/>
    </xf>
    <xf numFmtId="0" fontId="12" fillId="0" borderId="10" xfId="53" applyFont="1" applyBorder="1" applyAlignment="1">
      <alignment horizontal="right" wrapText="1"/>
      <protection/>
    </xf>
    <xf numFmtId="3" fontId="11" fillId="0" borderId="10" xfId="53" applyNumberFormat="1" applyFont="1" applyBorder="1" applyAlignment="1">
      <alignment wrapText="1"/>
      <protection/>
    </xf>
    <xf numFmtId="1" fontId="12" fillId="0" borderId="10" xfId="53" applyNumberFormat="1" applyFont="1" applyBorder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2" fillId="0" borderId="10" xfId="53" applyFont="1" applyFill="1" applyBorder="1" applyAlignment="1">
      <alignment horizontal="left" wrapText="1"/>
      <protection/>
    </xf>
    <xf numFmtId="3" fontId="11" fillId="0" borderId="0" xfId="53" applyNumberFormat="1" applyFont="1" applyBorder="1">
      <alignment/>
      <protection/>
    </xf>
    <xf numFmtId="166" fontId="11" fillId="0" borderId="10" xfId="59" applyNumberFormat="1" applyFont="1" applyBorder="1" applyAlignment="1">
      <alignment/>
    </xf>
    <xf numFmtId="166" fontId="11" fillId="0" borderId="0" xfId="59" applyNumberFormat="1" applyFont="1" applyBorder="1" applyAlignment="1">
      <alignment/>
    </xf>
    <xf numFmtId="1" fontId="12" fillId="0" borderId="12" xfId="53" applyNumberFormat="1" applyFont="1" applyBorder="1" applyAlignment="1">
      <alignment horizontal="left"/>
      <protection/>
    </xf>
    <xf numFmtId="0" fontId="11" fillId="0" borderId="12" xfId="53" applyFont="1" applyFill="1" applyBorder="1" applyAlignment="1">
      <alignment horizontal="right" wrapText="1"/>
      <protection/>
    </xf>
    <xf numFmtId="3" fontId="12" fillId="0" borderId="12" xfId="53" applyNumberFormat="1" applyFont="1" applyBorder="1">
      <alignment/>
      <protection/>
    </xf>
    <xf numFmtId="0" fontId="12" fillId="0" borderId="12" xfId="53" applyFont="1" applyFill="1" applyBorder="1" applyAlignment="1">
      <alignment horizontal="left" wrapText="1"/>
      <protection/>
    </xf>
    <xf numFmtId="4" fontId="11" fillId="0" borderId="0" xfId="53" applyNumberFormat="1" applyFont="1" applyBorder="1">
      <alignment/>
      <protection/>
    </xf>
    <xf numFmtId="1" fontId="12" fillId="0" borderId="12" xfId="53" applyNumberFormat="1" applyFont="1" applyFill="1" applyBorder="1" applyAlignment="1">
      <alignment horizontal="left"/>
      <protection/>
    </xf>
    <xf numFmtId="0" fontId="12" fillId="0" borderId="12" xfId="53" applyFont="1" applyFill="1" applyBorder="1" applyAlignment="1">
      <alignment horizontal="right" wrapText="1"/>
      <protection/>
    </xf>
    <xf numFmtId="4" fontId="12" fillId="0" borderId="10" xfId="53" applyNumberFormat="1" applyFont="1" applyBorder="1" applyAlignment="1">
      <alignment horizontal="right"/>
      <protection/>
    </xf>
    <xf numFmtId="4" fontId="5" fillId="24" borderId="10" xfId="0" applyNumberFormat="1" applyFont="1" applyFill="1" applyBorder="1" applyAlignment="1">
      <alignment/>
    </xf>
    <xf numFmtId="165" fontId="11" fillId="0" borderId="10" xfId="53" applyNumberFormat="1" applyFont="1" applyBorder="1" applyAlignment="1">
      <alignment wrapText="1"/>
      <protection/>
    </xf>
    <xf numFmtId="4" fontId="11" fillId="0" borderId="10" xfId="53" applyNumberFormat="1" applyFont="1" applyBorder="1" applyAlignment="1">
      <alignment horizontal="center" wrapText="1"/>
      <protection/>
    </xf>
    <xf numFmtId="9" fontId="11" fillId="0" borderId="0" xfId="60" applyFon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12" fillId="0" borderId="10" xfId="53" applyNumberFormat="1" applyFont="1" applyFill="1" applyBorder="1">
      <alignment/>
      <protection/>
    </xf>
    <xf numFmtId="4" fontId="11" fillId="0" borderId="10" xfId="53" applyNumberFormat="1" applyFont="1" applyFill="1" applyBorder="1">
      <alignment/>
      <protection/>
    </xf>
    <xf numFmtId="4" fontId="12" fillId="0" borderId="10" xfId="53" applyNumberFormat="1" applyFont="1" applyFill="1" applyBorder="1" applyAlignment="1">
      <alignment wrapText="1"/>
      <protection/>
    </xf>
    <xf numFmtId="4" fontId="11" fillId="0" borderId="10" xfId="59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4" fontId="18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" fontId="7" fillId="0" borderId="10" xfId="0" applyNumberFormat="1" applyFont="1" applyBorder="1" applyAlignment="1">
      <alignment horizontal="center" vertical="center"/>
    </xf>
    <xf numFmtId="16" fontId="7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18" fillId="0" borderId="10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10" fontId="7" fillId="0" borderId="0" xfId="58" applyNumberFormat="1" applyFont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8" fontId="4" fillId="0" borderId="10" xfId="58" applyNumberFormat="1" applyFont="1" applyBorder="1" applyAlignment="1">
      <alignment horizontal="center" wrapText="1"/>
    </xf>
    <xf numFmtId="168" fontId="0" fillId="0" borderId="0" xfId="0" applyNumberFormat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1" fillId="0" borderId="0" xfId="53" applyFont="1" applyAlignment="1">
      <alignment horizontal="right" vertical="center"/>
      <protection/>
    </xf>
    <xf numFmtId="165" fontId="11" fillId="0" borderId="0" xfId="59" applyNumberFormat="1" applyFont="1" applyBorder="1" applyAlignment="1">
      <alignment horizontal="center"/>
    </xf>
    <xf numFmtId="10" fontId="11" fillId="0" borderId="0" xfId="58" applyNumberFormat="1" applyFont="1" applyAlignment="1">
      <alignment/>
    </xf>
    <xf numFmtId="0" fontId="19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8" fillId="0" borderId="0" xfId="0" applyFont="1" applyBorder="1" applyAlignment="1">
      <alignment horizontal="right" vertical="center" wrapText="1"/>
    </xf>
    <xf numFmtId="0" fontId="11" fillId="0" borderId="17" xfId="53" applyFont="1" applyBorder="1" applyAlignment="1">
      <alignment wrapText="1"/>
      <protection/>
    </xf>
    <xf numFmtId="165" fontId="11" fillId="0" borderId="10" xfId="53" applyNumberFormat="1" applyFont="1" applyBorder="1" applyAlignment="1">
      <alignment horizontal="center" wrapText="1"/>
      <protection/>
    </xf>
    <xf numFmtId="166" fontId="11" fillId="0" borderId="10" xfId="59" applyNumberFormat="1" applyFont="1" applyBorder="1" applyAlignment="1">
      <alignment horizontal="center"/>
    </xf>
    <xf numFmtId="166" fontId="11" fillId="0" borderId="0" xfId="59" applyNumberFormat="1" applyFont="1" applyBorder="1" applyAlignment="1">
      <alignment horizontal="center"/>
    </xf>
    <xf numFmtId="165" fontId="11" fillId="0" borderId="11" xfId="53" applyNumberFormat="1" applyFont="1" applyBorder="1" applyAlignment="1">
      <alignment horizontal="center" wrapText="1"/>
      <protection/>
    </xf>
    <xf numFmtId="165" fontId="11" fillId="0" borderId="12" xfId="53" applyNumberFormat="1" applyFont="1" applyBorder="1" applyAlignment="1">
      <alignment horizontal="center" wrapText="1"/>
      <protection/>
    </xf>
    <xf numFmtId="0" fontId="16" fillId="0" borderId="10" xfId="0" applyFont="1" applyBorder="1" applyAlignment="1">
      <alignment/>
    </xf>
    <xf numFmtId="0" fontId="11" fillId="0" borderId="10" xfId="53" applyFont="1" applyBorder="1" applyAlignment="1">
      <alignment horizontal="center" wrapText="1"/>
      <protection/>
    </xf>
    <xf numFmtId="166" fontId="0" fillId="0" borderId="0" xfId="58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4.140625" style="110" customWidth="1"/>
    <col min="2" max="2" width="35.7109375" style="110" customWidth="1"/>
    <col min="3" max="3" width="12.57421875" style="110" customWidth="1"/>
    <col min="4" max="7" width="10.140625" style="110" bestFit="1" customWidth="1"/>
    <col min="8" max="8" width="10.57421875" style="110" bestFit="1" customWidth="1"/>
    <col min="9" max="15" width="10.140625" style="110" bestFit="1" customWidth="1"/>
    <col min="16" max="16" width="13.140625" style="110" bestFit="1" customWidth="1"/>
    <col min="17" max="16384" width="9.140625" style="110" customWidth="1"/>
  </cols>
  <sheetData>
    <row r="1" ht="12.75">
      <c r="B1" s="104" t="s">
        <v>24</v>
      </c>
    </row>
    <row r="2" spans="1:15" ht="25.5">
      <c r="A2" s="112" t="s">
        <v>0</v>
      </c>
      <c r="B2" s="112" t="s">
        <v>119</v>
      </c>
      <c r="C2" s="107" t="s">
        <v>1</v>
      </c>
      <c r="D2" s="107" t="s">
        <v>2</v>
      </c>
      <c r="E2" s="107" t="s">
        <v>3</v>
      </c>
      <c r="F2" s="107" t="s">
        <v>4</v>
      </c>
      <c r="G2" s="107" t="s">
        <v>5</v>
      </c>
      <c r="H2" s="107" t="s">
        <v>6</v>
      </c>
      <c r="I2" s="107" t="s">
        <v>7</v>
      </c>
      <c r="J2" s="107" t="s">
        <v>8</v>
      </c>
      <c r="K2" s="107" t="s">
        <v>9</v>
      </c>
      <c r="L2" s="107" t="s">
        <v>10</v>
      </c>
      <c r="M2" s="107" t="s">
        <v>11</v>
      </c>
      <c r="N2" s="107" t="s">
        <v>12</v>
      </c>
      <c r="O2" s="107" t="s">
        <v>13</v>
      </c>
    </row>
    <row r="3" spans="1:15" s="104" customFormat="1" ht="27" customHeight="1">
      <c r="A3" s="107">
        <v>1</v>
      </c>
      <c r="B3" s="113" t="s">
        <v>82</v>
      </c>
      <c r="C3" s="114">
        <f aca="true" t="shared" si="0" ref="C3:C31">SUM(D3:O3)</f>
        <v>2579007.3200000003</v>
      </c>
      <c r="D3" s="109">
        <f>SUM(D4:D6)</f>
        <v>214209.12</v>
      </c>
      <c r="E3" s="109">
        <f aca="true" t="shared" si="1" ref="E3:O3">SUM(E4:E6)</f>
        <v>214250.95</v>
      </c>
      <c r="F3" s="109">
        <f t="shared" si="1"/>
        <v>215117.87</v>
      </c>
      <c r="G3" s="109">
        <f t="shared" si="1"/>
        <v>215005.37</v>
      </c>
      <c r="H3" s="109">
        <f t="shared" si="1"/>
        <v>215117.87</v>
      </c>
      <c r="I3" s="109">
        <f t="shared" si="1"/>
        <v>215117.87</v>
      </c>
      <c r="J3" s="109">
        <f t="shared" si="1"/>
        <v>215117.87</v>
      </c>
      <c r="K3" s="109">
        <f t="shared" si="1"/>
        <v>215117.87</v>
      </c>
      <c r="L3" s="109">
        <f t="shared" si="1"/>
        <v>215117.87</v>
      </c>
      <c r="M3" s="109">
        <f t="shared" si="1"/>
        <v>215011.42</v>
      </c>
      <c r="N3" s="109">
        <f t="shared" si="1"/>
        <v>214911.62</v>
      </c>
      <c r="O3" s="109">
        <f t="shared" si="1"/>
        <v>214911.62</v>
      </c>
    </row>
    <row r="4" spans="1:15" ht="12.75">
      <c r="A4" s="115"/>
      <c r="B4" s="116" t="s">
        <v>14</v>
      </c>
      <c r="C4" s="15">
        <f t="shared" si="0"/>
        <v>2215584.0700000003</v>
      </c>
      <c r="D4" s="15">
        <v>184863.12</v>
      </c>
      <c r="E4" s="15">
        <v>184408.7</v>
      </c>
      <c r="F4" s="15">
        <v>184694.37</v>
      </c>
      <c r="G4" s="15">
        <v>184581.87</v>
      </c>
      <c r="H4" s="15">
        <v>184694.37</v>
      </c>
      <c r="I4" s="15">
        <v>184694.37</v>
      </c>
      <c r="J4" s="15">
        <v>184694.37</v>
      </c>
      <c r="K4" s="15">
        <v>184694.37</v>
      </c>
      <c r="L4" s="15">
        <v>184694.37</v>
      </c>
      <c r="M4" s="15">
        <v>184587.92</v>
      </c>
      <c r="N4" s="15">
        <v>184488.12</v>
      </c>
      <c r="O4" s="15">
        <v>184488.12</v>
      </c>
    </row>
    <row r="5" spans="1:15" ht="12.75">
      <c r="A5" s="115"/>
      <c r="B5" s="116" t="s">
        <v>15</v>
      </c>
      <c r="C5" s="15">
        <f t="shared" si="0"/>
        <v>276171.25</v>
      </c>
      <c r="D5" s="15">
        <v>22075</v>
      </c>
      <c r="E5" s="15">
        <v>22571.25</v>
      </c>
      <c r="F5" s="15">
        <v>23152.5</v>
      </c>
      <c r="G5" s="15">
        <v>23152.5</v>
      </c>
      <c r="H5" s="15">
        <v>23152.5</v>
      </c>
      <c r="I5" s="15">
        <v>23152.5</v>
      </c>
      <c r="J5" s="15">
        <v>23152.5</v>
      </c>
      <c r="K5" s="15">
        <v>23152.5</v>
      </c>
      <c r="L5" s="15">
        <v>23152.5</v>
      </c>
      <c r="M5" s="15">
        <v>23152.5</v>
      </c>
      <c r="N5" s="15">
        <v>23152.5</v>
      </c>
      <c r="O5" s="15">
        <v>23152.5</v>
      </c>
    </row>
    <row r="6" spans="1:15" ht="12.75">
      <c r="A6" s="117"/>
      <c r="B6" s="118" t="s">
        <v>16</v>
      </c>
      <c r="C6" s="15">
        <f t="shared" si="0"/>
        <v>87252</v>
      </c>
      <c r="D6" s="15">
        <v>7271</v>
      </c>
      <c r="E6" s="15">
        <v>7271</v>
      </c>
      <c r="F6" s="15">
        <v>7271</v>
      </c>
      <c r="G6" s="15">
        <v>7271</v>
      </c>
      <c r="H6" s="15">
        <v>7271</v>
      </c>
      <c r="I6" s="15">
        <v>7271</v>
      </c>
      <c r="J6" s="15">
        <v>7271</v>
      </c>
      <c r="K6" s="15">
        <v>7271</v>
      </c>
      <c r="L6" s="15">
        <v>7271</v>
      </c>
      <c r="M6" s="15">
        <v>7271</v>
      </c>
      <c r="N6" s="15">
        <v>7271</v>
      </c>
      <c r="O6" s="15">
        <v>7271</v>
      </c>
    </row>
    <row r="7" spans="1:15" s="104" customFormat="1" ht="12.75">
      <c r="A7" s="107">
        <v>2</v>
      </c>
      <c r="B7" s="119" t="s">
        <v>83</v>
      </c>
      <c r="C7" s="114">
        <f t="shared" si="0"/>
        <v>325044.8599999999</v>
      </c>
      <c r="D7" s="109">
        <f aca="true" t="shared" si="2" ref="D7:O7">SUM(D8:D10)</f>
        <v>27028.87</v>
      </c>
      <c r="E7" s="109">
        <f t="shared" si="2"/>
        <v>26854.68</v>
      </c>
      <c r="F7" s="109">
        <f t="shared" si="2"/>
        <v>27122.92</v>
      </c>
      <c r="G7" s="109">
        <f t="shared" si="2"/>
        <v>27117.3</v>
      </c>
      <c r="H7" s="109">
        <f t="shared" si="2"/>
        <v>27122.92</v>
      </c>
      <c r="I7" s="109">
        <f t="shared" si="2"/>
        <v>27122.92</v>
      </c>
      <c r="J7" s="109">
        <f t="shared" si="2"/>
        <v>27122.92</v>
      </c>
      <c r="K7" s="109">
        <f t="shared" si="2"/>
        <v>27122.92</v>
      </c>
      <c r="L7" s="109">
        <f t="shared" si="2"/>
        <v>27122.92</v>
      </c>
      <c r="M7" s="109">
        <f t="shared" si="2"/>
        <v>27110.149999999998</v>
      </c>
      <c r="N7" s="109">
        <f t="shared" si="2"/>
        <v>27098.17</v>
      </c>
      <c r="O7" s="109">
        <f t="shared" si="2"/>
        <v>27098.17</v>
      </c>
    </row>
    <row r="8" spans="1:15" ht="12.75">
      <c r="A8" s="115"/>
      <c r="B8" s="116" t="s">
        <v>14</v>
      </c>
      <c r="C8" s="15">
        <f t="shared" si="0"/>
        <v>265877.92</v>
      </c>
      <c r="D8" s="15">
        <v>22183.57</v>
      </c>
      <c r="E8" s="15">
        <v>22129.04</v>
      </c>
      <c r="F8" s="15">
        <v>22163.32</v>
      </c>
      <c r="G8" s="15">
        <v>22157.7</v>
      </c>
      <c r="H8" s="15">
        <v>22163.32</v>
      </c>
      <c r="I8" s="15">
        <v>22163.32</v>
      </c>
      <c r="J8" s="15">
        <v>22163.32</v>
      </c>
      <c r="K8" s="15">
        <v>22163.32</v>
      </c>
      <c r="L8" s="15">
        <v>22163.32</v>
      </c>
      <c r="M8" s="15">
        <v>22150.55</v>
      </c>
      <c r="N8" s="15">
        <v>22138.57</v>
      </c>
      <c r="O8" s="15">
        <v>22138.57</v>
      </c>
    </row>
    <row r="9" spans="1:15" ht="12.75">
      <c r="A9" s="115"/>
      <c r="B9" s="116" t="s">
        <v>15</v>
      </c>
      <c r="C9" s="15">
        <f t="shared" si="0"/>
        <v>32991.34</v>
      </c>
      <c r="D9" s="15">
        <v>2664</v>
      </c>
      <c r="E9" s="15">
        <v>2544.34</v>
      </c>
      <c r="F9" s="15">
        <v>2778.3</v>
      </c>
      <c r="G9" s="15">
        <v>2778.3</v>
      </c>
      <c r="H9" s="15">
        <v>2778.3</v>
      </c>
      <c r="I9" s="15">
        <v>2778.3</v>
      </c>
      <c r="J9" s="15">
        <v>2778.3</v>
      </c>
      <c r="K9" s="15">
        <v>2778.3</v>
      </c>
      <c r="L9" s="15">
        <v>2778.3</v>
      </c>
      <c r="M9" s="15">
        <v>2778.3</v>
      </c>
      <c r="N9" s="15">
        <v>2778.3</v>
      </c>
      <c r="O9" s="15">
        <v>2778.3</v>
      </c>
    </row>
    <row r="10" spans="1:15" ht="12.75">
      <c r="A10" s="117"/>
      <c r="B10" s="118" t="s">
        <v>16</v>
      </c>
      <c r="C10" s="15">
        <f t="shared" si="0"/>
        <v>26175.599999999995</v>
      </c>
      <c r="D10" s="15">
        <v>2181.3</v>
      </c>
      <c r="E10" s="15">
        <v>2181.3</v>
      </c>
      <c r="F10" s="15">
        <v>2181.3</v>
      </c>
      <c r="G10" s="15">
        <v>2181.3</v>
      </c>
      <c r="H10" s="15">
        <v>2181.3</v>
      </c>
      <c r="I10" s="15">
        <v>2181.3</v>
      </c>
      <c r="J10" s="15">
        <v>2181.3</v>
      </c>
      <c r="K10" s="15">
        <v>2181.3</v>
      </c>
      <c r="L10" s="15">
        <v>2181.3</v>
      </c>
      <c r="M10" s="15">
        <v>2181.3</v>
      </c>
      <c r="N10" s="15">
        <v>2181.3</v>
      </c>
      <c r="O10" s="15">
        <v>2181.3</v>
      </c>
    </row>
    <row r="11" spans="1:15" s="104" customFormat="1" ht="12.75">
      <c r="A11" s="107">
        <v>3</v>
      </c>
      <c r="B11" s="119" t="s">
        <v>17</v>
      </c>
      <c r="C11" s="109">
        <f t="shared" si="0"/>
        <v>1077553.05</v>
      </c>
      <c r="D11" s="109">
        <f aca="true" t="shared" si="3" ref="D11:O11">SUM(D12:D14)</f>
        <v>230390.45</v>
      </c>
      <c r="E11" s="109">
        <f t="shared" si="3"/>
        <v>195887.43000000002</v>
      </c>
      <c r="F11" s="109">
        <f t="shared" si="3"/>
        <v>139315.79</v>
      </c>
      <c r="G11" s="109">
        <f t="shared" si="3"/>
        <v>68827.63</v>
      </c>
      <c r="H11" s="109">
        <f t="shared" si="3"/>
        <v>21703.71</v>
      </c>
      <c r="I11" s="109">
        <f t="shared" si="3"/>
        <v>0</v>
      </c>
      <c r="J11" s="109">
        <f t="shared" si="3"/>
        <v>0</v>
      </c>
      <c r="K11" s="109">
        <f t="shared" si="3"/>
        <v>0</v>
      </c>
      <c r="L11" s="109">
        <f t="shared" si="3"/>
        <v>0</v>
      </c>
      <c r="M11" s="109">
        <f t="shared" si="3"/>
        <v>72842.62999999999</v>
      </c>
      <c r="N11" s="109">
        <f t="shared" si="3"/>
        <v>143200.09</v>
      </c>
      <c r="O11" s="109">
        <f t="shared" si="3"/>
        <v>205385.31999999998</v>
      </c>
    </row>
    <row r="12" spans="1:15" ht="12.75">
      <c r="A12" s="115"/>
      <c r="B12" s="116" t="s">
        <v>14</v>
      </c>
      <c r="C12" s="15">
        <f t="shared" si="0"/>
        <v>857544.0999999999</v>
      </c>
      <c r="D12" s="15">
        <v>196990.34</v>
      </c>
      <c r="E12" s="15">
        <v>164523.48</v>
      </c>
      <c r="F12" s="15">
        <v>112579.13</v>
      </c>
      <c r="G12" s="15">
        <v>49369.79</v>
      </c>
      <c r="H12" s="15">
        <v>13323.62</v>
      </c>
      <c r="I12" s="15">
        <v>0</v>
      </c>
      <c r="J12" s="15">
        <v>0</v>
      </c>
      <c r="K12" s="15">
        <v>0</v>
      </c>
      <c r="L12" s="15">
        <v>0</v>
      </c>
      <c r="M12" s="15">
        <v>52654.32</v>
      </c>
      <c r="N12" s="15">
        <v>115226.43</v>
      </c>
      <c r="O12" s="15">
        <v>152876.99</v>
      </c>
    </row>
    <row r="13" spans="1:15" ht="12.75">
      <c r="A13" s="115"/>
      <c r="B13" s="116" t="s">
        <v>15</v>
      </c>
      <c r="C13" s="15">
        <f t="shared" si="0"/>
        <v>167937.77999999997</v>
      </c>
      <c r="D13" s="15">
        <v>26885.23</v>
      </c>
      <c r="E13" s="15">
        <v>25571.78</v>
      </c>
      <c r="F13" s="15">
        <v>22196.31</v>
      </c>
      <c r="G13" s="15">
        <v>19457.84</v>
      </c>
      <c r="H13" s="15">
        <v>8380.09</v>
      </c>
      <c r="I13" s="15">
        <v>0</v>
      </c>
      <c r="J13" s="15">
        <v>0</v>
      </c>
      <c r="K13" s="15">
        <v>0</v>
      </c>
      <c r="L13" s="15">
        <v>0</v>
      </c>
      <c r="M13" s="15">
        <v>19405.58</v>
      </c>
      <c r="N13" s="15">
        <v>21085.09</v>
      </c>
      <c r="O13" s="15">
        <v>24955.86</v>
      </c>
    </row>
    <row r="14" spans="1:15" ht="12.75">
      <c r="A14" s="115"/>
      <c r="B14" s="116" t="s">
        <v>16</v>
      </c>
      <c r="C14" s="15">
        <f t="shared" si="0"/>
        <v>52071.17</v>
      </c>
      <c r="D14" s="15">
        <v>6514.88</v>
      </c>
      <c r="E14" s="15">
        <v>5792.17</v>
      </c>
      <c r="F14" s="15">
        <v>4540.35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782.73</v>
      </c>
      <c r="N14" s="15">
        <v>6888.57</v>
      </c>
      <c r="O14" s="15">
        <v>27552.47</v>
      </c>
    </row>
    <row r="15" spans="1:15" s="104" customFormat="1" ht="12.75">
      <c r="A15" s="107">
        <v>4</v>
      </c>
      <c r="B15" s="119" t="s">
        <v>18</v>
      </c>
      <c r="C15" s="109">
        <f t="shared" si="0"/>
        <v>235911.29999999996</v>
      </c>
      <c r="D15" s="109">
        <f>SUM(D16:D17)</f>
        <v>18627.620000000003</v>
      </c>
      <c r="E15" s="109">
        <f aca="true" t="shared" si="4" ref="E15:O15">SUM(E16:E17)</f>
        <v>17957.510000000002</v>
      </c>
      <c r="F15" s="109">
        <f t="shared" si="4"/>
        <v>19947.71</v>
      </c>
      <c r="G15" s="109">
        <f t="shared" si="4"/>
        <v>19528.13</v>
      </c>
      <c r="H15" s="109">
        <f t="shared" si="4"/>
        <v>21080.7</v>
      </c>
      <c r="I15" s="109">
        <f t="shared" si="4"/>
        <v>19612.12</v>
      </c>
      <c r="J15" s="109">
        <f t="shared" si="4"/>
        <v>23738.820000000003</v>
      </c>
      <c r="K15" s="109">
        <f t="shared" si="4"/>
        <v>20327.649999999998</v>
      </c>
      <c r="L15" s="109">
        <f t="shared" si="4"/>
        <v>20157.39</v>
      </c>
      <c r="M15" s="109">
        <f t="shared" si="4"/>
        <v>19592.28</v>
      </c>
      <c r="N15" s="109">
        <f t="shared" si="4"/>
        <v>18380.75</v>
      </c>
      <c r="O15" s="109">
        <f t="shared" si="4"/>
        <v>16960.62</v>
      </c>
    </row>
    <row r="16" spans="1:15" ht="12.75">
      <c r="A16" s="115"/>
      <c r="B16" s="116" t="s">
        <v>14</v>
      </c>
      <c r="C16" s="15">
        <f t="shared" si="0"/>
        <v>212288.81</v>
      </c>
      <c r="D16" s="15">
        <v>17268.04</v>
      </c>
      <c r="E16" s="15">
        <v>15925.93</v>
      </c>
      <c r="F16" s="15">
        <v>17790.37</v>
      </c>
      <c r="G16" s="15">
        <v>17267.81</v>
      </c>
      <c r="H16" s="15">
        <v>18961.15</v>
      </c>
      <c r="I16" s="15">
        <v>17797.21</v>
      </c>
      <c r="J16" s="15">
        <v>21863.83</v>
      </c>
      <c r="K16" s="15">
        <v>18361.39</v>
      </c>
      <c r="L16" s="15">
        <v>17785.81</v>
      </c>
      <c r="M16" s="15">
        <v>17294.53</v>
      </c>
      <c r="N16" s="15">
        <v>17035.82</v>
      </c>
      <c r="O16" s="15">
        <v>14936.92</v>
      </c>
    </row>
    <row r="17" spans="1:15" ht="12.75">
      <c r="A17" s="115"/>
      <c r="B17" s="116" t="s">
        <v>15</v>
      </c>
      <c r="C17" s="15">
        <f t="shared" si="0"/>
        <v>23622.49</v>
      </c>
      <c r="D17" s="15">
        <v>1359.58</v>
      </c>
      <c r="E17" s="15">
        <v>2031.58</v>
      </c>
      <c r="F17" s="15">
        <v>2157.34</v>
      </c>
      <c r="G17" s="15">
        <v>2260.32</v>
      </c>
      <c r="H17" s="15">
        <v>2119.55</v>
      </c>
      <c r="I17" s="15">
        <v>1814.91</v>
      </c>
      <c r="J17" s="15">
        <v>1874.99</v>
      </c>
      <c r="K17" s="15">
        <v>1966.26</v>
      </c>
      <c r="L17" s="15">
        <v>2371.58</v>
      </c>
      <c r="M17" s="15">
        <v>2297.75</v>
      </c>
      <c r="N17" s="15">
        <v>1344.93</v>
      </c>
      <c r="O17" s="15">
        <v>2023.7</v>
      </c>
    </row>
    <row r="18" spans="1:15" s="104" customFormat="1" ht="12.75">
      <c r="A18" s="107">
        <v>5</v>
      </c>
      <c r="B18" s="119" t="s">
        <v>19</v>
      </c>
      <c r="C18" s="109">
        <f t="shared" si="0"/>
        <v>175470.47</v>
      </c>
      <c r="D18" s="109">
        <f aca="true" t="shared" si="5" ref="D18:O18">SUM(D19:D20)</f>
        <v>17394.61</v>
      </c>
      <c r="E18" s="109">
        <f t="shared" si="5"/>
        <v>16017.98</v>
      </c>
      <c r="F18" s="109">
        <f t="shared" si="5"/>
        <v>17623.56</v>
      </c>
      <c r="G18" s="109">
        <f t="shared" si="5"/>
        <v>16879.83</v>
      </c>
      <c r="H18" s="109">
        <f t="shared" si="5"/>
        <v>15008.36</v>
      </c>
      <c r="I18" s="109">
        <f t="shared" si="5"/>
        <v>10951.02</v>
      </c>
      <c r="J18" s="109">
        <f t="shared" si="5"/>
        <v>7160.4</v>
      </c>
      <c r="K18" s="109">
        <f t="shared" si="5"/>
        <v>11074.24</v>
      </c>
      <c r="L18" s="109">
        <f t="shared" si="5"/>
        <v>13628.94</v>
      </c>
      <c r="M18" s="109">
        <f t="shared" si="5"/>
        <v>16081.29</v>
      </c>
      <c r="N18" s="109">
        <f t="shared" si="5"/>
        <v>17730.59</v>
      </c>
      <c r="O18" s="109">
        <f t="shared" si="5"/>
        <v>15919.650000000001</v>
      </c>
    </row>
    <row r="19" spans="1:15" ht="12.75">
      <c r="A19" s="115"/>
      <c r="B19" s="116" t="s">
        <v>14</v>
      </c>
      <c r="C19" s="15">
        <f t="shared" si="0"/>
        <v>173358.42</v>
      </c>
      <c r="D19" s="15">
        <v>17394.61</v>
      </c>
      <c r="E19" s="15">
        <v>16017.98</v>
      </c>
      <c r="F19" s="15">
        <v>17623.56</v>
      </c>
      <c r="G19" s="15">
        <v>16879.83</v>
      </c>
      <c r="H19" s="15">
        <v>15008.36</v>
      </c>
      <c r="I19" s="15">
        <v>10951.02</v>
      </c>
      <c r="J19" s="15">
        <v>7160.4</v>
      </c>
      <c r="K19" s="15">
        <v>11074.24</v>
      </c>
      <c r="L19" s="15">
        <v>13628.94</v>
      </c>
      <c r="M19" s="15">
        <v>16081.29</v>
      </c>
      <c r="N19" s="15">
        <v>16692.07</v>
      </c>
      <c r="O19" s="15">
        <v>14846.12</v>
      </c>
    </row>
    <row r="20" spans="1:15" ht="12.75">
      <c r="A20" s="115"/>
      <c r="B20" s="116" t="s">
        <v>15</v>
      </c>
      <c r="C20" s="15">
        <f t="shared" si="0"/>
        <v>2112.05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1038.52</v>
      </c>
      <c r="O20" s="15">
        <v>1073.53</v>
      </c>
    </row>
    <row r="21" spans="1:15" s="104" customFormat="1" ht="12.75">
      <c r="A21" s="107">
        <v>6</v>
      </c>
      <c r="B21" s="119" t="s">
        <v>20</v>
      </c>
      <c r="C21" s="109">
        <f t="shared" si="0"/>
        <v>434969.51999999996</v>
      </c>
      <c r="D21" s="109">
        <f aca="true" t="shared" si="6" ref="D21:O21">SUM(D22:D23)</f>
        <v>37043.72</v>
      </c>
      <c r="E21" s="109">
        <f t="shared" si="6"/>
        <v>33330.39</v>
      </c>
      <c r="F21" s="109">
        <f t="shared" si="6"/>
        <v>41039.02</v>
      </c>
      <c r="G21" s="109">
        <f t="shared" si="6"/>
        <v>37541.18</v>
      </c>
      <c r="H21" s="109">
        <f t="shared" si="6"/>
        <v>34436.39</v>
      </c>
      <c r="I21" s="109">
        <f t="shared" si="6"/>
        <v>26944.149999999998</v>
      </c>
      <c r="J21" s="109">
        <f t="shared" si="6"/>
        <v>20846.48</v>
      </c>
      <c r="K21" s="109">
        <f t="shared" si="6"/>
        <v>31457.92</v>
      </c>
      <c r="L21" s="109">
        <f t="shared" si="6"/>
        <v>38928.05</v>
      </c>
      <c r="M21" s="109">
        <f t="shared" si="6"/>
        <v>42704.31</v>
      </c>
      <c r="N21" s="109">
        <f t="shared" si="6"/>
        <v>47742.93</v>
      </c>
      <c r="O21" s="109">
        <f t="shared" si="6"/>
        <v>42954.979999999996</v>
      </c>
    </row>
    <row r="22" spans="1:15" ht="12.75">
      <c r="A22" s="115"/>
      <c r="B22" s="116" t="s">
        <v>14</v>
      </c>
      <c r="C22" s="15">
        <f t="shared" si="0"/>
        <v>420389.81999999995</v>
      </c>
      <c r="D22" s="15">
        <v>37043.72</v>
      </c>
      <c r="E22" s="15">
        <v>33330.39</v>
      </c>
      <c r="F22" s="15">
        <v>41039.02</v>
      </c>
      <c r="G22" s="15">
        <v>37541.18</v>
      </c>
      <c r="H22" s="15">
        <v>34436.39</v>
      </c>
      <c r="I22" s="15">
        <v>25012.96</v>
      </c>
      <c r="J22" s="15">
        <v>19413.85</v>
      </c>
      <c r="K22" s="15">
        <v>29290.67</v>
      </c>
      <c r="L22" s="15">
        <v>36209.98</v>
      </c>
      <c r="M22" s="15">
        <v>42704.31</v>
      </c>
      <c r="N22" s="15">
        <v>44629.01</v>
      </c>
      <c r="O22" s="15">
        <v>39738.34</v>
      </c>
    </row>
    <row r="23" spans="1:15" ht="12.75">
      <c r="A23" s="115"/>
      <c r="B23" s="116" t="s">
        <v>15</v>
      </c>
      <c r="C23" s="15">
        <f t="shared" si="0"/>
        <v>14579.699999999999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1931.19</v>
      </c>
      <c r="J23" s="15">
        <v>1432.63</v>
      </c>
      <c r="K23" s="15">
        <v>2167.25</v>
      </c>
      <c r="L23" s="15">
        <v>2718.07</v>
      </c>
      <c r="M23" s="15">
        <v>0</v>
      </c>
      <c r="N23" s="15">
        <v>3113.92</v>
      </c>
      <c r="O23" s="15">
        <v>3216.64</v>
      </c>
    </row>
    <row r="24" spans="1:15" s="104" customFormat="1" ht="12.75">
      <c r="A24" s="107">
        <v>7</v>
      </c>
      <c r="B24" s="119" t="s">
        <v>21</v>
      </c>
      <c r="C24" s="109">
        <f t="shared" si="0"/>
        <v>177137.87000000002</v>
      </c>
      <c r="D24" s="109">
        <f aca="true" t="shared" si="7" ref="D24:O24">SUM(D25:D26)</f>
        <v>14031.539999999999</v>
      </c>
      <c r="E24" s="109">
        <f t="shared" si="7"/>
        <v>13078.289999999999</v>
      </c>
      <c r="F24" s="109">
        <f t="shared" si="7"/>
        <v>16352.22</v>
      </c>
      <c r="G24" s="109">
        <f t="shared" si="7"/>
        <v>15830.300000000001</v>
      </c>
      <c r="H24" s="109">
        <f t="shared" si="7"/>
        <v>15882.28</v>
      </c>
      <c r="I24" s="109">
        <f t="shared" si="7"/>
        <v>13457.5</v>
      </c>
      <c r="J24" s="109">
        <f t="shared" si="7"/>
        <v>13822.490000000002</v>
      </c>
      <c r="K24" s="109">
        <f t="shared" si="7"/>
        <v>13809.109999999999</v>
      </c>
      <c r="L24" s="109">
        <f t="shared" si="7"/>
        <v>14856.38</v>
      </c>
      <c r="M24" s="109">
        <f t="shared" si="7"/>
        <v>15687.52</v>
      </c>
      <c r="N24" s="109">
        <f t="shared" si="7"/>
        <v>15838.42</v>
      </c>
      <c r="O24" s="109">
        <f t="shared" si="7"/>
        <v>14491.82</v>
      </c>
    </row>
    <row r="25" spans="1:15" ht="12.75">
      <c r="A25" s="115"/>
      <c r="B25" s="116" t="s">
        <v>14</v>
      </c>
      <c r="C25" s="15">
        <f t="shared" si="0"/>
        <v>165897.86000000002</v>
      </c>
      <c r="D25" s="15">
        <v>13437.73</v>
      </c>
      <c r="E25" s="15">
        <v>12190.97</v>
      </c>
      <c r="F25" s="15">
        <v>15409.96</v>
      </c>
      <c r="G25" s="15">
        <v>14843.04</v>
      </c>
      <c r="H25" s="15">
        <v>14956.54</v>
      </c>
      <c r="I25" s="15">
        <v>12664.81</v>
      </c>
      <c r="J25" s="15">
        <v>13003.54</v>
      </c>
      <c r="K25" s="15">
        <v>12950.31</v>
      </c>
      <c r="L25" s="15">
        <v>13820.55</v>
      </c>
      <c r="M25" s="15">
        <v>14683.93</v>
      </c>
      <c r="N25" s="15">
        <v>14797.41</v>
      </c>
      <c r="O25" s="15">
        <v>13139.07</v>
      </c>
    </row>
    <row r="26" spans="1:15" ht="12.75">
      <c r="A26" s="115"/>
      <c r="B26" s="116" t="s">
        <v>15</v>
      </c>
      <c r="C26" s="15">
        <f t="shared" si="0"/>
        <v>11240.01</v>
      </c>
      <c r="D26" s="15">
        <v>593.81</v>
      </c>
      <c r="E26" s="15">
        <v>887.32</v>
      </c>
      <c r="F26" s="15">
        <v>942.26</v>
      </c>
      <c r="G26" s="15">
        <v>987.26</v>
      </c>
      <c r="H26" s="15">
        <v>925.74</v>
      </c>
      <c r="I26" s="15">
        <v>792.69</v>
      </c>
      <c r="J26" s="15">
        <v>818.95</v>
      </c>
      <c r="K26" s="15">
        <v>858.8</v>
      </c>
      <c r="L26" s="15">
        <v>1035.83</v>
      </c>
      <c r="M26" s="15">
        <v>1003.59</v>
      </c>
      <c r="N26" s="15">
        <v>1041.01</v>
      </c>
      <c r="O26" s="15">
        <v>1352.75</v>
      </c>
    </row>
    <row r="27" spans="1:15" s="104" customFormat="1" ht="12.75">
      <c r="A27" s="107">
        <v>8</v>
      </c>
      <c r="B27" s="119" t="s">
        <v>22</v>
      </c>
      <c r="C27" s="109">
        <f t="shared" si="0"/>
        <v>1958013.1199999996</v>
      </c>
      <c r="D27" s="109">
        <f>SUM(D28:D30)</f>
        <v>144342.63999999998</v>
      </c>
      <c r="E27" s="109">
        <f aca="true" t="shared" si="8" ref="E27:N27">SUM(E28:E30)</f>
        <v>164582.65</v>
      </c>
      <c r="F27" s="109">
        <f t="shared" si="8"/>
        <v>168336.29</v>
      </c>
      <c r="G27" s="109">
        <f t="shared" si="8"/>
        <v>162692.06</v>
      </c>
      <c r="H27" s="109">
        <f t="shared" si="8"/>
        <v>170884.57</v>
      </c>
      <c r="I27" s="109">
        <f t="shared" si="8"/>
        <v>134511.27</v>
      </c>
      <c r="J27" s="109">
        <f t="shared" si="8"/>
        <v>150394.24</v>
      </c>
      <c r="K27" s="109">
        <f t="shared" si="8"/>
        <v>181440.98</v>
      </c>
      <c r="L27" s="109">
        <f t="shared" si="8"/>
        <v>170882.14</v>
      </c>
      <c r="M27" s="109">
        <f t="shared" si="8"/>
        <v>159064.44</v>
      </c>
      <c r="N27" s="109">
        <f t="shared" si="8"/>
        <v>190352.97</v>
      </c>
      <c r="O27" s="109">
        <f>SUM(O28:O30)</f>
        <v>160528.87</v>
      </c>
    </row>
    <row r="28" spans="1:15" ht="12.75">
      <c r="A28" s="115"/>
      <c r="B28" s="116" t="s">
        <v>14</v>
      </c>
      <c r="C28" s="15">
        <f t="shared" si="0"/>
        <v>732026.2999999999</v>
      </c>
      <c r="D28" s="15">
        <v>70011.83</v>
      </c>
      <c r="E28" s="15">
        <v>61970.54</v>
      </c>
      <c r="F28" s="15">
        <v>66427.86</v>
      </c>
      <c r="G28" s="15">
        <v>61849.27</v>
      </c>
      <c r="H28" s="15">
        <v>52367.48</v>
      </c>
      <c r="I28" s="15">
        <v>46973.86</v>
      </c>
      <c r="J28" s="15">
        <v>63938.6</v>
      </c>
      <c r="K28" s="15">
        <v>52327.26</v>
      </c>
      <c r="L28" s="15">
        <v>59963.28</v>
      </c>
      <c r="M28" s="15">
        <v>66491</v>
      </c>
      <c r="N28" s="15">
        <v>65711.93</v>
      </c>
      <c r="O28" s="15">
        <v>63993.39</v>
      </c>
    </row>
    <row r="29" spans="1:15" ht="12.75">
      <c r="A29" s="115"/>
      <c r="B29" s="116" t="s">
        <v>15</v>
      </c>
      <c r="C29" s="15">
        <f t="shared" si="0"/>
        <v>1156870.07</v>
      </c>
      <c r="D29" s="15">
        <v>64697.51</v>
      </c>
      <c r="E29" s="15">
        <v>98147.68</v>
      </c>
      <c r="F29" s="15">
        <v>94109.2</v>
      </c>
      <c r="G29" s="15">
        <v>91367.6</v>
      </c>
      <c r="H29" s="15">
        <v>114727.27</v>
      </c>
      <c r="I29" s="15">
        <v>82179.64</v>
      </c>
      <c r="J29" s="15">
        <v>82024.9</v>
      </c>
      <c r="K29" s="15">
        <v>123195.19</v>
      </c>
      <c r="L29" s="15">
        <v>105164.16</v>
      </c>
      <c r="M29" s="15">
        <v>87468.83</v>
      </c>
      <c r="N29" s="15">
        <v>120222.87</v>
      </c>
      <c r="O29" s="15">
        <v>93565.22</v>
      </c>
    </row>
    <row r="30" spans="1:15" ht="12.75">
      <c r="A30" s="115"/>
      <c r="B30" s="116" t="s">
        <v>16</v>
      </c>
      <c r="C30" s="15">
        <f t="shared" si="0"/>
        <v>69116.75</v>
      </c>
      <c r="D30" s="15">
        <v>9633.3</v>
      </c>
      <c r="E30" s="15">
        <v>4464.43</v>
      </c>
      <c r="F30" s="15">
        <v>7799.23</v>
      </c>
      <c r="G30" s="15">
        <v>9475.19</v>
      </c>
      <c r="H30" s="15">
        <v>3789.82</v>
      </c>
      <c r="I30" s="15">
        <v>5357.77</v>
      </c>
      <c r="J30" s="15">
        <v>4430.74</v>
      </c>
      <c r="K30" s="15">
        <v>5918.53</v>
      </c>
      <c r="L30" s="15">
        <v>5754.7</v>
      </c>
      <c r="M30" s="15">
        <v>5104.61</v>
      </c>
      <c r="N30" s="15">
        <v>4418.17</v>
      </c>
      <c r="O30" s="15">
        <v>2970.26</v>
      </c>
    </row>
    <row r="31" spans="1:15" s="104" customFormat="1" ht="12.75">
      <c r="A31" s="107">
        <v>9</v>
      </c>
      <c r="B31" s="119" t="s">
        <v>126</v>
      </c>
      <c r="C31" s="109">
        <f t="shared" si="0"/>
        <v>-5208.389999999999</v>
      </c>
      <c r="D31" s="109">
        <f aca="true" t="shared" si="9" ref="D31:O31">SUM(D32:D34)</f>
        <v>0</v>
      </c>
      <c r="E31" s="109">
        <f t="shared" si="9"/>
        <v>-591.34</v>
      </c>
      <c r="F31" s="109">
        <f t="shared" si="9"/>
        <v>0</v>
      </c>
      <c r="G31" s="109">
        <f t="shared" si="9"/>
        <v>0</v>
      </c>
      <c r="H31" s="109">
        <f t="shared" si="9"/>
        <v>0</v>
      </c>
      <c r="I31" s="109">
        <f t="shared" si="9"/>
        <v>0</v>
      </c>
      <c r="J31" s="109">
        <f t="shared" si="9"/>
        <v>0</v>
      </c>
      <c r="K31" s="109">
        <f t="shared" si="9"/>
        <v>198.8</v>
      </c>
      <c r="L31" s="109">
        <f t="shared" si="9"/>
        <v>0</v>
      </c>
      <c r="M31" s="109">
        <f t="shared" si="9"/>
        <v>-4372.61</v>
      </c>
      <c r="N31" s="109">
        <f t="shared" si="9"/>
        <v>0</v>
      </c>
      <c r="O31" s="109">
        <f t="shared" si="9"/>
        <v>-443.24</v>
      </c>
    </row>
    <row r="32" spans="1:15" ht="12.75">
      <c r="A32" s="115"/>
      <c r="B32" s="116" t="s">
        <v>14</v>
      </c>
      <c r="C32" s="15">
        <f aca="true" t="shared" si="10" ref="C32:C40">SUM(D32:O32)</f>
        <v>-4765.15</v>
      </c>
      <c r="D32" s="15"/>
      <c r="E32" s="15">
        <v>-591.34</v>
      </c>
      <c r="F32" s="15"/>
      <c r="G32" s="15"/>
      <c r="H32" s="15"/>
      <c r="I32" s="15"/>
      <c r="J32" s="15"/>
      <c r="K32" s="15">
        <v>198.8</v>
      </c>
      <c r="L32" s="15"/>
      <c r="M32" s="15">
        <v>-4372.61</v>
      </c>
      <c r="N32" s="15"/>
      <c r="O32" s="15"/>
    </row>
    <row r="33" spans="1:15" ht="12.75">
      <c r="A33" s="115"/>
      <c r="B33" s="116" t="s">
        <v>15</v>
      </c>
      <c r="C33" s="15">
        <f t="shared" si="10"/>
        <v>-443.24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-443.24</v>
      </c>
    </row>
    <row r="34" spans="1:15" ht="12.75">
      <c r="A34" s="115"/>
      <c r="B34" s="116" t="s">
        <v>16</v>
      </c>
      <c r="C34" s="15">
        <f t="shared" si="10"/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104" customFormat="1" ht="12.75">
      <c r="A35" s="107">
        <v>10</v>
      </c>
      <c r="B35" s="119" t="s">
        <v>23</v>
      </c>
      <c r="C35" s="109">
        <f t="shared" si="10"/>
        <v>19821.969999999998</v>
      </c>
      <c r="D35" s="109">
        <v>4876.97</v>
      </c>
      <c r="E35" s="109">
        <v>5364.22</v>
      </c>
      <c r="F35" s="109">
        <v>-4802.68</v>
      </c>
      <c r="G35" s="109">
        <v>0</v>
      </c>
      <c r="H35" s="109">
        <v>1913.93</v>
      </c>
      <c r="I35" s="109">
        <v>2724.11</v>
      </c>
      <c r="J35" s="109">
        <v>2987.09</v>
      </c>
      <c r="K35" s="109">
        <v>2620.34</v>
      </c>
      <c r="L35" s="109">
        <v>3061.88</v>
      </c>
      <c r="M35" s="109">
        <v>-634.65</v>
      </c>
      <c r="N35" s="109">
        <v>972.48</v>
      </c>
      <c r="O35" s="109">
        <v>738.28</v>
      </c>
    </row>
    <row r="36" spans="1:15" s="104" customFormat="1" ht="12.75">
      <c r="A36" s="107">
        <v>11</v>
      </c>
      <c r="B36" s="119" t="s">
        <v>309</v>
      </c>
      <c r="C36" s="109">
        <f t="shared" si="10"/>
        <v>38869.100000000006</v>
      </c>
      <c r="D36" s="109">
        <f>SUM(D37:D38)</f>
        <v>7431.299999999999</v>
      </c>
      <c r="E36" s="109">
        <f aca="true" t="shared" si="11" ref="E36:O36">SUM(E37:E38)</f>
        <v>6790.54</v>
      </c>
      <c r="F36" s="109">
        <f t="shared" si="11"/>
        <v>6292.23</v>
      </c>
      <c r="G36" s="109">
        <f t="shared" si="11"/>
        <v>5301.95</v>
      </c>
      <c r="H36" s="109">
        <f t="shared" si="11"/>
        <v>4677.21</v>
      </c>
      <c r="I36" s="109">
        <f t="shared" si="11"/>
        <v>4243.57</v>
      </c>
      <c r="J36" s="109">
        <f t="shared" si="11"/>
        <v>4270.2300000000005</v>
      </c>
      <c r="K36" s="109">
        <f t="shared" si="11"/>
        <v>0</v>
      </c>
      <c r="L36" s="109">
        <f t="shared" si="11"/>
        <v>0</v>
      </c>
      <c r="M36" s="109">
        <f t="shared" si="11"/>
        <v>-137.93</v>
      </c>
      <c r="N36" s="109">
        <f t="shared" si="11"/>
        <v>0</v>
      </c>
      <c r="O36" s="109">
        <f t="shared" si="11"/>
        <v>0</v>
      </c>
    </row>
    <row r="37" spans="1:15" ht="12.75">
      <c r="A37" s="115"/>
      <c r="B37" s="116" t="s">
        <v>14</v>
      </c>
      <c r="C37" s="15">
        <f t="shared" si="10"/>
        <v>37215.149999999994</v>
      </c>
      <c r="D37" s="15">
        <v>7098.48</v>
      </c>
      <c r="E37" s="15">
        <v>6534.29</v>
      </c>
      <c r="F37" s="15">
        <v>6008.94</v>
      </c>
      <c r="G37" s="15">
        <v>5055.92</v>
      </c>
      <c r="H37" s="15">
        <v>4507.43</v>
      </c>
      <c r="I37" s="15">
        <v>4053.7</v>
      </c>
      <c r="J37" s="15">
        <v>4094.32</v>
      </c>
      <c r="K37" s="15">
        <v>0</v>
      </c>
      <c r="L37" s="15">
        <v>0</v>
      </c>
      <c r="M37" s="15">
        <v>-137.93</v>
      </c>
      <c r="N37" s="15">
        <v>0</v>
      </c>
      <c r="O37" s="15">
        <v>0</v>
      </c>
    </row>
    <row r="38" spans="1:15" ht="12.75">
      <c r="A38" s="115"/>
      <c r="B38" s="116" t="s">
        <v>16</v>
      </c>
      <c r="C38" s="15">
        <f t="shared" si="10"/>
        <v>1653.95</v>
      </c>
      <c r="D38" s="15">
        <v>332.82</v>
      </c>
      <c r="E38" s="15">
        <v>256.25</v>
      </c>
      <c r="F38" s="15">
        <v>283.29</v>
      </c>
      <c r="G38" s="15">
        <v>246.03</v>
      </c>
      <c r="H38" s="15">
        <v>169.78</v>
      </c>
      <c r="I38" s="15">
        <v>189.87</v>
      </c>
      <c r="J38" s="15">
        <v>175.91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s="104" customFormat="1" ht="38.25">
      <c r="A39" s="107">
        <v>12</v>
      </c>
      <c r="B39" s="113" t="s">
        <v>114</v>
      </c>
      <c r="C39" s="114">
        <f t="shared" si="10"/>
        <v>95000</v>
      </c>
      <c r="D39" s="109">
        <f>Провайдеры!C13</f>
        <v>1000</v>
      </c>
      <c r="E39" s="109">
        <f>Провайдеры!D13</f>
        <v>1000</v>
      </c>
      <c r="F39" s="109">
        <f>Провайдеры!E13</f>
        <v>1000</v>
      </c>
      <c r="G39" s="109">
        <f>Провайдеры!F13</f>
        <v>1000</v>
      </c>
      <c r="H39" s="109">
        <f>Провайдеры!G13</f>
        <v>11000</v>
      </c>
      <c r="I39" s="109">
        <f>Провайдеры!H13</f>
        <v>11000</v>
      </c>
      <c r="J39" s="109">
        <f>Провайдеры!I13</f>
        <v>11500</v>
      </c>
      <c r="K39" s="109">
        <f>Провайдеры!J13</f>
        <v>11500</v>
      </c>
      <c r="L39" s="109">
        <f>Провайдеры!K13</f>
        <v>11500</v>
      </c>
      <c r="M39" s="109">
        <f>Провайдеры!L13</f>
        <v>11500</v>
      </c>
      <c r="N39" s="109">
        <f>Провайдеры!M13</f>
        <v>11500</v>
      </c>
      <c r="O39" s="109">
        <f>Провайдеры!N13</f>
        <v>11500</v>
      </c>
    </row>
    <row r="40" spans="1:15" s="104" customFormat="1" ht="12.75">
      <c r="A40" s="120">
        <v>13</v>
      </c>
      <c r="B40" s="121" t="s">
        <v>319</v>
      </c>
      <c r="C40" s="122">
        <f t="shared" si="10"/>
        <v>3739</v>
      </c>
      <c r="D40" s="122"/>
      <c r="E40" s="122"/>
      <c r="F40" s="122"/>
      <c r="G40" s="109"/>
      <c r="H40" s="122">
        <v>2001</v>
      </c>
      <c r="I40" s="122"/>
      <c r="J40" s="109"/>
      <c r="K40" s="122"/>
      <c r="L40" s="122"/>
      <c r="M40" s="122">
        <f>1738</f>
        <v>1738</v>
      </c>
      <c r="N40" s="122"/>
      <c r="O40" s="109"/>
    </row>
    <row r="41" spans="1:17" s="105" customFormat="1" ht="12.75">
      <c r="A41" s="123"/>
      <c r="B41" s="123" t="s">
        <v>310</v>
      </c>
      <c r="C41" s="103">
        <f>SUMIF($A$3:$A$40,"&lt;&gt;",C3:C40)-C36</f>
        <v>7076460.09</v>
      </c>
      <c r="D41" s="103">
        <f aca="true" t="shared" si="12" ref="D41:O41">SUMIF($A$3:$A$40,"&lt;&gt;",D3:D40)-D36</f>
        <v>708945.54</v>
      </c>
      <c r="E41" s="103">
        <f t="shared" si="12"/>
        <v>687732.76</v>
      </c>
      <c r="F41" s="103">
        <f t="shared" si="12"/>
        <v>641052.7</v>
      </c>
      <c r="G41" s="103">
        <f t="shared" si="12"/>
        <v>564421.8</v>
      </c>
      <c r="H41" s="103">
        <f t="shared" si="12"/>
        <v>536151.7300000001</v>
      </c>
      <c r="I41" s="103">
        <f t="shared" si="12"/>
        <v>461440.95999999996</v>
      </c>
      <c r="J41" s="103">
        <f t="shared" si="12"/>
        <v>472690.31</v>
      </c>
      <c r="K41" s="103">
        <f t="shared" si="12"/>
        <v>514669.82999999996</v>
      </c>
      <c r="L41" s="103">
        <f t="shared" si="12"/>
        <v>515255.57</v>
      </c>
      <c r="M41" s="103">
        <f t="shared" si="12"/>
        <v>576324.78</v>
      </c>
      <c r="N41" s="103">
        <f t="shared" si="12"/>
        <v>687728.02</v>
      </c>
      <c r="O41" s="103">
        <f t="shared" si="12"/>
        <v>710046.09</v>
      </c>
      <c r="P41" s="106"/>
      <c r="Q41" s="106"/>
    </row>
    <row r="42" spans="1:15" s="105" customFormat="1" ht="12.75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25.5">
      <c r="A43" s="126" t="s">
        <v>0</v>
      </c>
      <c r="B43" s="126" t="s">
        <v>123</v>
      </c>
      <c r="C43" s="127" t="s">
        <v>1</v>
      </c>
      <c r="D43" s="127" t="s">
        <v>2</v>
      </c>
      <c r="E43" s="127" t="s">
        <v>3</v>
      </c>
      <c r="F43" s="127" t="s">
        <v>4</v>
      </c>
      <c r="G43" s="127" t="s">
        <v>5</v>
      </c>
      <c r="H43" s="127" t="s">
        <v>6</v>
      </c>
      <c r="I43" s="127" t="s">
        <v>7</v>
      </c>
      <c r="J43" s="127" t="s">
        <v>8</v>
      </c>
      <c r="K43" s="127" t="s">
        <v>9</v>
      </c>
      <c r="L43" s="127" t="s">
        <v>10</v>
      </c>
      <c r="M43" s="127" t="s">
        <v>11</v>
      </c>
      <c r="N43" s="127" t="s">
        <v>12</v>
      </c>
      <c r="O43" s="127" t="s">
        <v>13</v>
      </c>
    </row>
    <row r="44" spans="1:15" s="104" customFormat="1" ht="25.5">
      <c r="A44" s="107">
        <v>1</v>
      </c>
      <c r="B44" s="108" t="s">
        <v>82</v>
      </c>
      <c r="C44" s="109">
        <f aca="true" t="shared" si="13" ref="C44:C76">SUM(D44:O44)</f>
        <v>2204054.3699999996</v>
      </c>
      <c r="D44" s="109">
        <f>SUM(D45:D47)</f>
        <v>0</v>
      </c>
      <c r="E44" s="109">
        <f aca="true" t="shared" si="14" ref="E44:O44">SUM(E45:E47)</f>
        <v>67761.62</v>
      </c>
      <c r="F44" s="109">
        <f t="shared" si="14"/>
        <v>62477.71</v>
      </c>
      <c r="G44" s="109">
        <f t="shared" si="14"/>
        <v>160314.09</v>
      </c>
      <c r="H44" s="109">
        <f t="shared" si="14"/>
        <v>245098.96999999997</v>
      </c>
      <c r="I44" s="109">
        <f t="shared" si="14"/>
        <v>190258.48</v>
      </c>
      <c r="J44" s="109">
        <f t="shared" si="14"/>
        <v>249233.77</v>
      </c>
      <c r="K44" s="109">
        <f t="shared" si="14"/>
        <v>218436.54</v>
      </c>
      <c r="L44" s="109">
        <f t="shared" si="14"/>
        <v>234111.40999999997</v>
      </c>
      <c r="M44" s="109">
        <f t="shared" si="14"/>
        <v>259182.6</v>
      </c>
      <c r="N44" s="109">
        <f t="shared" si="14"/>
        <v>249051.88</v>
      </c>
      <c r="O44" s="109">
        <f t="shared" si="14"/>
        <v>268127.3</v>
      </c>
    </row>
    <row r="45" spans="1:15" ht="12.75">
      <c r="A45" s="115"/>
      <c r="B45" s="128" t="s">
        <v>14</v>
      </c>
      <c r="C45" s="109">
        <f t="shared" si="13"/>
        <v>1890688.7199999997</v>
      </c>
      <c r="D45" s="15">
        <v>0</v>
      </c>
      <c r="E45" s="15">
        <v>60953.08</v>
      </c>
      <c r="F45" s="15">
        <v>59610.07</v>
      </c>
      <c r="G45" s="15">
        <v>146314.94</v>
      </c>
      <c r="H45" s="15">
        <v>222220.74</v>
      </c>
      <c r="I45" s="15">
        <v>163088.53</v>
      </c>
      <c r="J45" s="15">
        <v>191362.13</v>
      </c>
      <c r="K45" s="15">
        <v>192002.78</v>
      </c>
      <c r="L45" s="15">
        <v>207302.71</v>
      </c>
      <c r="M45" s="15">
        <v>210316.17</v>
      </c>
      <c r="N45" s="15">
        <v>207208.44</v>
      </c>
      <c r="O45" s="15">
        <v>230309.13</v>
      </c>
    </row>
    <row r="46" spans="1:15" ht="12.75">
      <c r="A46" s="115"/>
      <c r="B46" s="128" t="s">
        <v>15</v>
      </c>
      <c r="C46" s="109">
        <f t="shared" si="13"/>
        <v>249574.56999999998</v>
      </c>
      <c r="D46" s="15">
        <v>0</v>
      </c>
      <c r="E46" s="15">
        <v>5902.51</v>
      </c>
      <c r="F46" s="15">
        <v>1901.25</v>
      </c>
      <c r="G46" s="15">
        <v>8946.32</v>
      </c>
      <c r="H46" s="15">
        <v>13206.77</v>
      </c>
      <c r="I46" s="15">
        <v>22228.22</v>
      </c>
      <c r="J46" s="15">
        <v>52109.53</v>
      </c>
      <c r="K46" s="15">
        <v>20524.57</v>
      </c>
      <c r="L46" s="15">
        <v>20491.49</v>
      </c>
      <c r="M46" s="15">
        <v>40774.96</v>
      </c>
      <c r="N46" s="15">
        <v>33687.3</v>
      </c>
      <c r="O46" s="15">
        <v>29801.65</v>
      </c>
    </row>
    <row r="47" spans="1:15" ht="12.75">
      <c r="A47" s="117"/>
      <c r="B47" s="128" t="s">
        <v>16</v>
      </c>
      <c r="C47" s="109">
        <f t="shared" si="13"/>
        <v>63791.08</v>
      </c>
      <c r="D47" s="15">
        <v>0</v>
      </c>
      <c r="E47" s="15">
        <v>906.03</v>
      </c>
      <c r="F47" s="15">
        <v>966.39</v>
      </c>
      <c r="G47" s="15">
        <v>5052.83</v>
      </c>
      <c r="H47" s="15">
        <v>9671.46</v>
      </c>
      <c r="I47" s="15">
        <v>4941.73</v>
      </c>
      <c r="J47" s="15">
        <v>5762.11</v>
      </c>
      <c r="K47" s="15">
        <v>5909.19</v>
      </c>
      <c r="L47" s="15">
        <v>6317.21</v>
      </c>
      <c r="M47" s="15">
        <v>8091.47</v>
      </c>
      <c r="N47" s="15">
        <v>8156.14</v>
      </c>
      <c r="O47" s="15">
        <v>8016.52</v>
      </c>
    </row>
    <row r="48" spans="1:15" s="104" customFormat="1" ht="12.75">
      <c r="A48" s="107">
        <v>2</v>
      </c>
      <c r="B48" s="108" t="s">
        <v>83</v>
      </c>
      <c r="C48" s="109">
        <f t="shared" si="13"/>
        <v>275982.43</v>
      </c>
      <c r="D48" s="109">
        <f aca="true" t="shared" si="15" ref="D48:O48">SUM(D49:D51)</f>
        <v>0</v>
      </c>
      <c r="E48" s="109">
        <f t="shared" si="15"/>
        <v>8294.5</v>
      </c>
      <c r="F48" s="109">
        <f t="shared" si="15"/>
        <v>7671.28</v>
      </c>
      <c r="G48" s="109">
        <f t="shared" si="15"/>
        <v>20147.15</v>
      </c>
      <c r="H48" s="109">
        <f t="shared" si="15"/>
        <v>31160.65</v>
      </c>
      <c r="I48" s="109">
        <f t="shared" si="15"/>
        <v>23720.6</v>
      </c>
      <c r="J48" s="109">
        <f t="shared" si="15"/>
        <v>30945.11</v>
      </c>
      <c r="K48" s="109">
        <f t="shared" si="15"/>
        <v>27116.880000000005</v>
      </c>
      <c r="L48" s="109">
        <f t="shared" si="15"/>
        <v>29230.51</v>
      </c>
      <c r="M48" s="109">
        <f t="shared" si="15"/>
        <v>32558.29</v>
      </c>
      <c r="N48" s="109">
        <f t="shared" si="15"/>
        <v>31354.41</v>
      </c>
      <c r="O48" s="109">
        <f t="shared" si="15"/>
        <v>33783.05</v>
      </c>
    </row>
    <row r="49" spans="1:15" ht="12.75">
      <c r="A49" s="115"/>
      <c r="B49" s="128" t="s">
        <v>14</v>
      </c>
      <c r="C49" s="109">
        <f t="shared" si="13"/>
        <v>227055.36</v>
      </c>
      <c r="D49" s="15">
        <v>0</v>
      </c>
      <c r="E49" s="15">
        <v>7314.37</v>
      </c>
      <c r="F49" s="15">
        <v>7153.2</v>
      </c>
      <c r="G49" s="15">
        <v>17557.79</v>
      </c>
      <c r="H49" s="15">
        <v>26674.36</v>
      </c>
      <c r="I49" s="15">
        <v>19570.64</v>
      </c>
      <c r="J49" s="15">
        <v>22963.41</v>
      </c>
      <c r="K49" s="15">
        <v>23040.33</v>
      </c>
      <c r="L49" s="15">
        <v>24876.34</v>
      </c>
      <c r="M49" s="15">
        <v>25237.9</v>
      </c>
      <c r="N49" s="15">
        <v>24865.05</v>
      </c>
      <c r="O49" s="15">
        <v>27801.97</v>
      </c>
    </row>
    <row r="50" spans="1:15" ht="12.75">
      <c r="A50" s="115"/>
      <c r="B50" s="128" t="s">
        <v>15</v>
      </c>
      <c r="C50" s="109">
        <f t="shared" si="13"/>
        <v>29789.79</v>
      </c>
      <c r="D50" s="15">
        <v>0</v>
      </c>
      <c r="E50" s="15">
        <v>708.3</v>
      </c>
      <c r="F50" s="15">
        <v>228.15</v>
      </c>
      <c r="G50" s="15">
        <v>1073.56</v>
      </c>
      <c r="H50" s="15">
        <v>1584.83</v>
      </c>
      <c r="I50" s="15">
        <v>2667.38</v>
      </c>
      <c r="J50" s="15">
        <v>6253.12</v>
      </c>
      <c r="K50" s="15">
        <v>2303.81</v>
      </c>
      <c r="L50" s="15">
        <v>2458.98</v>
      </c>
      <c r="M50" s="15">
        <v>4892.98</v>
      </c>
      <c r="N50" s="15">
        <v>4042.48</v>
      </c>
      <c r="O50" s="15">
        <v>3576.2</v>
      </c>
    </row>
    <row r="51" spans="1:15" ht="12.75">
      <c r="A51" s="117"/>
      <c r="B51" s="128" t="s">
        <v>16</v>
      </c>
      <c r="C51" s="109">
        <f t="shared" si="13"/>
        <v>19137.280000000002</v>
      </c>
      <c r="D51" s="15">
        <v>0</v>
      </c>
      <c r="E51" s="15">
        <v>271.83</v>
      </c>
      <c r="F51" s="15">
        <v>289.93</v>
      </c>
      <c r="G51" s="15">
        <v>1515.8</v>
      </c>
      <c r="H51" s="15">
        <v>2901.46</v>
      </c>
      <c r="I51" s="15">
        <v>1482.58</v>
      </c>
      <c r="J51" s="15">
        <v>1728.58</v>
      </c>
      <c r="K51" s="15">
        <v>1772.74</v>
      </c>
      <c r="L51" s="15">
        <v>1895.19</v>
      </c>
      <c r="M51" s="15">
        <v>2427.41</v>
      </c>
      <c r="N51" s="15">
        <v>2446.88</v>
      </c>
      <c r="O51" s="15">
        <v>2404.88</v>
      </c>
    </row>
    <row r="52" spans="1:15" s="104" customFormat="1" ht="12.75">
      <c r="A52" s="107">
        <v>3</v>
      </c>
      <c r="B52" s="129" t="s">
        <v>17</v>
      </c>
      <c r="C52" s="109">
        <f t="shared" si="13"/>
        <v>862315.6400000001</v>
      </c>
      <c r="D52" s="109">
        <f aca="true" t="shared" si="16" ref="D52:O52">SUM(D53:D55)</f>
        <v>0</v>
      </c>
      <c r="E52" s="109">
        <f t="shared" si="16"/>
        <v>71982.59</v>
      </c>
      <c r="F52" s="109">
        <f t="shared" si="16"/>
        <v>65018.19</v>
      </c>
      <c r="G52" s="109">
        <f t="shared" si="16"/>
        <v>153695.37</v>
      </c>
      <c r="H52" s="109">
        <f t="shared" si="16"/>
        <v>132697.26</v>
      </c>
      <c r="I52" s="109">
        <f t="shared" si="16"/>
        <v>60674.590000000004</v>
      </c>
      <c r="J52" s="109">
        <f t="shared" si="16"/>
        <v>70271.79</v>
      </c>
      <c r="K52" s="109">
        <f t="shared" si="16"/>
        <v>33542.81</v>
      </c>
      <c r="L52" s="109">
        <f t="shared" si="16"/>
        <v>23087.9</v>
      </c>
      <c r="M52" s="109">
        <f t="shared" si="16"/>
        <v>37532.69</v>
      </c>
      <c r="N52" s="109">
        <f t="shared" si="16"/>
        <v>54568.7</v>
      </c>
      <c r="O52" s="109">
        <f t="shared" si="16"/>
        <v>159243.75</v>
      </c>
    </row>
    <row r="53" spans="1:15" ht="12.75">
      <c r="A53" s="115"/>
      <c r="B53" s="128" t="s">
        <v>14</v>
      </c>
      <c r="C53" s="109">
        <f t="shared" si="13"/>
        <v>713315.61</v>
      </c>
      <c r="D53" s="15">
        <v>0</v>
      </c>
      <c r="E53" s="15">
        <v>63643.17</v>
      </c>
      <c r="F53" s="15">
        <v>62895.75</v>
      </c>
      <c r="G53" s="15">
        <f>124014.97+'Распределение льгот'!C5</f>
        <v>140848.97</v>
      </c>
      <c r="H53" s="15">
        <v>114487.73</v>
      </c>
      <c r="I53" s="15">
        <v>43063.7</v>
      </c>
      <c r="J53" s="15">
        <f>33771.42+'Распределение льгот'!D5</f>
        <v>44245.729999999996</v>
      </c>
      <c r="K53" s="15">
        <v>29133.42</v>
      </c>
      <c r="L53" s="15">
        <v>22510.99</v>
      </c>
      <c r="M53" s="15">
        <f>22720.11+'Распределение льгот'!E5</f>
        <v>32091.88</v>
      </c>
      <c r="N53" s="15">
        <v>33612.78</v>
      </c>
      <c r="O53" s="15">
        <f>109145.87+'Распределение льгот'!F5</f>
        <v>126781.48999999999</v>
      </c>
    </row>
    <row r="54" spans="1:15" ht="12.75">
      <c r="A54" s="115"/>
      <c r="B54" s="128" t="s">
        <v>15</v>
      </c>
      <c r="C54" s="109">
        <f t="shared" si="13"/>
        <v>129006.17999999998</v>
      </c>
      <c r="D54" s="15">
        <v>0</v>
      </c>
      <c r="E54" s="15">
        <v>7528.34</v>
      </c>
      <c r="F54" s="15">
        <v>1265.03</v>
      </c>
      <c r="G54" s="15">
        <v>8746.3</v>
      </c>
      <c r="H54" s="15">
        <v>13142.05</v>
      </c>
      <c r="I54" s="15">
        <v>15916.16</v>
      </c>
      <c r="J54" s="15">
        <v>25609.02</v>
      </c>
      <c r="K54" s="15">
        <v>3768.06</v>
      </c>
      <c r="L54" s="15">
        <v>0</v>
      </c>
      <c r="M54" s="15">
        <v>4394.59</v>
      </c>
      <c r="N54" s="15">
        <v>20298.76</v>
      </c>
      <c r="O54" s="15">
        <v>28337.87</v>
      </c>
    </row>
    <row r="55" spans="1:15" ht="12.75">
      <c r="A55" s="115"/>
      <c r="B55" s="128" t="s">
        <v>16</v>
      </c>
      <c r="C55" s="109">
        <f t="shared" si="13"/>
        <v>19993.85</v>
      </c>
      <c r="D55" s="15">
        <v>0</v>
      </c>
      <c r="E55" s="15">
        <v>811.08</v>
      </c>
      <c r="F55" s="15">
        <v>857.41</v>
      </c>
      <c r="G55" s="15">
        <v>4100.1</v>
      </c>
      <c r="H55" s="15">
        <v>5067.48</v>
      </c>
      <c r="I55" s="15">
        <v>1694.73</v>
      </c>
      <c r="J55" s="15">
        <v>417.04</v>
      </c>
      <c r="K55" s="15">
        <v>641.33</v>
      </c>
      <c r="L55" s="15">
        <v>576.91</v>
      </c>
      <c r="M55" s="15">
        <v>1046.22</v>
      </c>
      <c r="N55" s="15">
        <v>657.16</v>
      </c>
      <c r="O55" s="15">
        <v>4124.39</v>
      </c>
    </row>
    <row r="56" spans="1:15" s="104" customFormat="1" ht="12.75">
      <c r="A56" s="107">
        <v>4</v>
      </c>
      <c r="B56" s="129" t="s">
        <v>18</v>
      </c>
      <c r="C56" s="109">
        <f t="shared" si="13"/>
        <v>227386.41</v>
      </c>
      <c r="D56" s="109">
        <f>SUM(D57:D58)</f>
        <v>0</v>
      </c>
      <c r="E56" s="109">
        <f aca="true" t="shared" si="17" ref="E56:O56">SUM(E57:E58)</f>
        <v>5781.030000000001</v>
      </c>
      <c r="F56" s="109">
        <f t="shared" si="17"/>
        <v>5444.7300000000005</v>
      </c>
      <c r="G56" s="109">
        <f t="shared" si="17"/>
        <v>20305.28</v>
      </c>
      <c r="H56" s="109">
        <f t="shared" si="17"/>
        <v>22650.84</v>
      </c>
      <c r="I56" s="109">
        <f t="shared" si="17"/>
        <v>18876.18</v>
      </c>
      <c r="J56" s="109">
        <f t="shared" si="17"/>
        <v>26418.61</v>
      </c>
      <c r="K56" s="109">
        <f t="shared" si="17"/>
        <v>22671.63</v>
      </c>
      <c r="L56" s="109">
        <f t="shared" si="17"/>
        <v>20765.51</v>
      </c>
      <c r="M56" s="109">
        <f t="shared" si="17"/>
        <v>30745.59</v>
      </c>
      <c r="N56" s="109">
        <f t="shared" si="17"/>
        <v>24367.48</v>
      </c>
      <c r="O56" s="109">
        <f t="shared" si="17"/>
        <v>29359.530000000002</v>
      </c>
    </row>
    <row r="57" spans="1:15" ht="12.75">
      <c r="A57" s="115"/>
      <c r="B57" s="128" t="s">
        <v>14</v>
      </c>
      <c r="C57" s="109">
        <f t="shared" si="13"/>
        <v>206656.4</v>
      </c>
      <c r="D57" s="15">
        <v>0</v>
      </c>
      <c r="E57" s="15">
        <v>5639.85</v>
      </c>
      <c r="F57" s="15">
        <v>5255.18</v>
      </c>
      <c r="G57" s="15">
        <f>13129.47+'Распределение льгот'!C4</f>
        <v>19679.55</v>
      </c>
      <c r="H57" s="15">
        <v>21917.53</v>
      </c>
      <c r="I57" s="15">
        <v>16870.01</v>
      </c>
      <c r="J57" s="15">
        <f>17304.41+'Распределение льгот'!D4</f>
        <v>21379.94</v>
      </c>
      <c r="K57" s="15">
        <v>21269.61</v>
      </c>
      <c r="L57" s="15">
        <v>19731.6</v>
      </c>
      <c r="M57" s="15">
        <f>22717.93+'Распределение льгот'!E4</f>
        <v>26364.47</v>
      </c>
      <c r="N57" s="15">
        <v>20903.78</v>
      </c>
      <c r="O57" s="15">
        <f>20782.9+'Распределение льгот'!F4</f>
        <v>27644.88</v>
      </c>
    </row>
    <row r="58" spans="1:15" ht="12.75">
      <c r="A58" s="115"/>
      <c r="B58" s="128" t="s">
        <v>15</v>
      </c>
      <c r="C58" s="109">
        <f t="shared" si="13"/>
        <v>20730.010000000002</v>
      </c>
      <c r="D58" s="15">
        <v>0</v>
      </c>
      <c r="E58" s="15">
        <v>141.18</v>
      </c>
      <c r="F58" s="15">
        <v>189.55</v>
      </c>
      <c r="G58" s="15">
        <v>625.73</v>
      </c>
      <c r="H58" s="15">
        <v>733.31</v>
      </c>
      <c r="I58" s="15">
        <v>2006.17</v>
      </c>
      <c r="J58" s="15">
        <v>5038.67</v>
      </c>
      <c r="K58" s="15">
        <v>1402.02</v>
      </c>
      <c r="L58" s="15">
        <v>1033.91</v>
      </c>
      <c r="M58" s="15">
        <v>4381.12</v>
      </c>
      <c r="N58" s="15">
        <v>3463.7</v>
      </c>
      <c r="O58" s="15">
        <v>1714.65</v>
      </c>
    </row>
    <row r="59" spans="1:15" s="104" customFormat="1" ht="12.75">
      <c r="A59" s="107">
        <v>5</v>
      </c>
      <c r="B59" s="129" t="s">
        <v>19</v>
      </c>
      <c r="C59" s="109">
        <f t="shared" si="13"/>
        <v>148871.4</v>
      </c>
      <c r="D59" s="109">
        <f aca="true" t="shared" si="18" ref="D59:O59">SUM(D60:D61)</f>
        <v>0</v>
      </c>
      <c r="E59" s="109">
        <f t="shared" si="18"/>
        <v>5948.5</v>
      </c>
      <c r="F59" s="109">
        <f t="shared" si="18"/>
        <v>5486.49</v>
      </c>
      <c r="G59" s="109">
        <f t="shared" si="18"/>
        <v>12978.52</v>
      </c>
      <c r="H59" s="109">
        <f t="shared" si="18"/>
        <v>21953.86</v>
      </c>
      <c r="I59" s="109">
        <f t="shared" si="18"/>
        <v>14295.28</v>
      </c>
      <c r="J59" s="109">
        <f t="shared" si="18"/>
        <v>14187.8</v>
      </c>
      <c r="K59" s="109">
        <f t="shared" si="18"/>
        <v>11512.08</v>
      </c>
      <c r="L59" s="109">
        <f t="shared" si="18"/>
        <v>12037.19</v>
      </c>
      <c r="M59" s="109">
        <f t="shared" si="18"/>
        <v>14924.29</v>
      </c>
      <c r="N59" s="109">
        <f t="shared" si="18"/>
        <v>15760.59</v>
      </c>
      <c r="O59" s="109">
        <f t="shared" si="18"/>
        <v>19786.8</v>
      </c>
    </row>
    <row r="60" spans="1:15" ht="12.75">
      <c r="A60" s="115"/>
      <c r="B60" s="128" t="s">
        <v>14</v>
      </c>
      <c r="C60" s="109">
        <f t="shared" si="13"/>
        <v>148350.63</v>
      </c>
      <c r="D60" s="15">
        <v>0</v>
      </c>
      <c r="E60" s="15">
        <v>5948.5</v>
      </c>
      <c r="F60" s="15">
        <v>5486.49</v>
      </c>
      <c r="G60" s="15">
        <v>12978.52</v>
      </c>
      <c r="H60" s="15">
        <v>21953.86</v>
      </c>
      <c r="I60" s="15">
        <v>14295.28</v>
      </c>
      <c r="J60" s="15">
        <v>14187.8</v>
      </c>
      <c r="K60" s="15">
        <v>11512.08</v>
      </c>
      <c r="L60" s="15">
        <v>12037.19</v>
      </c>
      <c r="M60" s="15">
        <v>14924.29</v>
      </c>
      <c r="N60" s="15">
        <v>15760.59</v>
      </c>
      <c r="O60" s="15">
        <v>19266.03</v>
      </c>
    </row>
    <row r="61" spans="1:15" ht="12.75">
      <c r="A61" s="115"/>
      <c r="B61" s="128" t="s">
        <v>15</v>
      </c>
      <c r="C61" s="109">
        <f t="shared" si="13"/>
        <v>520.77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520.77</v>
      </c>
    </row>
    <row r="62" spans="1:15" s="104" customFormat="1" ht="12.75">
      <c r="A62" s="107">
        <v>6</v>
      </c>
      <c r="B62" s="129" t="s">
        <v>20</v>
      </c>
      <c r="C62" s="109">
        <f t="shared" si="13"/>
        <v>365414.08999999997</v>
      </c>
      <c r="D62" s="109">
        <f aca="true" t="shared" si="19" ref="D62:O62">SUM(D63:D64)</f>
        <v>0</v>
      </c>
      <c r="E62" s="109">
        <f t="shared" si="19"/>
        <v>13839.42</v>
      </c>
      <c r="F62" s="109">
        <f t="shared" si="19"/>
        <v>11685.79</v>
      </c>
      <c r="G62" s="109">
        <f t="shared" si="19"/>
        <v>28547.08</v>
      </c>
      <c r="H62" s="109">
        <f t="shared" si="19"/>
        <v>51176.86</v>
      </c>
      <c r="I62" s="109">
        <f t="shared" si="19"/>
        <v>30903.08</v>
      </c>
      <c r="J62" s="109">
        <f t="shared" si="19"/>
        <v>33368.2</v>
      </c>
      <c r="K62" s="109">
        <f t="shared" si="19"/>
        <v>28080.37</v>
      </c>
      <c r="L62" s="109">
        <f t="shared" si="19"/>
        <v>30191.23</v>
      </c>
      <c r="M62" s="109">
        <f t="shared" si="19"/>
        <v>43374.63</v>
      </c>
      <c r="N62" s="109">
        <f t="shared" si="19"/>
        <v>42790.920000000006</v>
      </c>
      <c r="O62" s="109">
        <f t="shared" si="19"/>
        <v>51456.51</v>
      </c>
    </row>
    <row r="63" spans="1:15" ht="12.75">
      <c r="A63" s="115"/>
      <c r="B63" s="128" t="s">
        <v>14</v>
      </c>
      <c r="C63" s="109">
        <f t="shared" si="13"/>
        <v>353747.5099999999</v>
      </c>
      <c r="D63" s="15">
        <v>0</v>
      </c>
      <c r="E63" s="15">
        <v>13839.42</v>
      </c>
      <c r="F63" s="15">
        <v>11685.79</v>
      </c>
      <c r="G63" s="15">
        <v>28547.08</v>
      </c>
      <c r="H63" s="15">
        <v>51176.86</v>
      </c>
      <c r="I63" s="15">
        <v>30903.08</v>
      </c>
      <c r="J63" s="15">
        <v>32635.67</v>
      </c>
      <c r="K63" s="15">
        <v>27220.96</v>
      </c>
      <c r="L63" s="15">
        <v>29190.11</v>
      </c>
      <c r="M63" s="15">
        <v>38424.34</v>
      </c>
      <c r="N63" s="15">
        <v>40488.23</v>
      </c>
      <c r="O63" s="15">
        <v>49635.97</v>
      </c>
    </row>
    <row r="64" spans="1:15" ht="12.75">
      <c r="A64" s="115"/>
      <c r="B64" s="128" t="s">
        <v>15</v>
      </c>
      <c r="C64" s="109">
        <f t="shared" si="13"/>
        <v>11666.580000000002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732.53</v>
      </c>
      <c r="K64" s="15">
        <v>859.41</v>
      </c>
      <c r="L64" s="15">
        <v>1001.12</v>
      </c>
      <c r="M64" s="15">
        <v>4950.29</v>
      </c>
      <c r="N64" s="15">
        <v>2302.69</v>
      </c>
      <c r="O64" s="15">
        <v>1820.54</v>
      </c>
    </row>
    <row r="65" spans="1:15" s="104" customFormat="1" ht="12.75">
      <c r="A65" s="107">
        <v>7</v>
      </c>
      <c r="B65" s="129" t="s">
        <v>21</v>
      </c>
      <c r="C65" s="109">
        <f t="shared" si="13"/>
        <v>152475.21000000002</v>
      </c>
      <c r="D65" s="109">
        <f>SUM(D66:D67)</f>
        <v>0</v>
      </c>
      <c r="E65" s="109">
        <f aca="true" t="shared" si="20" ref="E65:O65">SUM(E66:E67)</f>
        <v>5063.36</v>
      </c>
      <c r="F65" s="109">
        <f t="shared" si="20"/>
        <v>4026.13</v>
      </c>
      <c r="G65" s="109">
        <f t="shared" si="20"/>
        <v>10504.810000000001</v>
      </c>
      <c r="H65" s="109">
        <f t="shared" si="20"/>
        <v>19402.62</v>
      </c>
      <c r="I65" s="109">
        <f t="shared" si="20"/>
        <v>14136.05</v>
      </c>
      <c r="J65" s="109">
        <f t="shared" si="20"/>
        <v>16081.08</v>
      </c>
      <c r="K65" s="109">
        <f t="shared" si="20"/>
        <v>14815.6</v>
      </c>
      <c r="L65" s="109">
        <f t="shared" si="20"/>
        <v>14049.21</v>
      </c>
      <c r="M65" s="109">
        <f t="shared" si="20"/>
        <v>18310.31</v>
      </c>
      <c r="N65" s="109">
        <f t="shared" si="20"/>
        <v>17331.13</v>
      </c>
      <c r="O65" s="109">
        <f t="shared" si="20"/>
        <v>18754.91</v>
      </c>
    </row>
    <row r="66" spans="1:15" ht="12.75">
      <c r="A66" s="115"/>
      <c r="B66" s="128" t="s">
        <v>14</v>
      </c>
      <c r="C66" s="109">
        <f t="shared" si="13"/>
        <v>143193.63999999998</v>
      </c>
      <c r="D66" s="15">
        <v>0</v>
      </c>
      <c r="E66" s="15">
        <v>5001.7</v>
      </c>
      <c r="F66" s="15">
        <v>3943.34</v>
      </c>
      <c r="G66" s="15">
        <v>10231.52</v>
      </c>
      <c r="H66" s="15">
        <v>19082.3</v>
      </c>
      <c r="I66" s="15">
        <v>13259.83</v>
      </c>
      <c r="J66" s="15">
        <v>13880.43</v>
      </c>
      <c r="K66" s="15">
        <v>14203.23</v>
      </c>
      <c r="L66" s="15">
        <v>13597.64</v>
      </c>
      <c r="M66" s="15">
        <v>16396.79</v>
      </c>
      <c r="N66" s="15">
        <v>15818.31</v>
      </c>
      <c r="O66" s="15">
        <v>17778.55</v>
      </c>
    </row>
    <row r="67" spans="1:15" ht="12.75">
      <c r="A67" s="115"/>
      <c r="B67" s="128" t="s">
        <v>15</v>
      </c>
      <c r="C67" s="109">
        <f t="shared" si="13"/>
        <v>9281.57</v>
      </c>
      <c r="D67" s="15">
        <v>0</v>
      </c>
      <c r="E67" s="15">
        <v>61.66</v>
      </c>
      <c r="F67" s="15">
        <v>82.79</v>
      </c>
      <c r="G67" s="15">
        <v>273.29</v>
      </c>
      <c r="H67" s="15">
        <v>320.32</v>
      </c>
      <c r="I67" s="15">
        <v>876.22</v>
      </c>
      <c r="J67" s="15">
        <v>2200.65</v>
      </c>
      <c r="K67" s="15">
        <v>612.37</v>
      </c>
      <c r="L67" s="15">
        <v>451.57</v>
      </c>
      <c r="M67" s="15">
        <v>1913.52</v>
      </c>
      <c r="N67" s="15">
        <v>1512.82</v>
      </c>
      <c r="O67" s="15">
        <v>976.36</v>
      </c>
    </row>
    <row r="68" spans="1:15" s="104" customFormat="1" ht="12.75">
      <c r="A68" s="107">
        <v>8</v>
      </c>
      <c r="B68" s="129" t="s">
        <v>22</v>
      </c>
      <c r="C68" s="109">
        <f t="shared" si="13"/>
        <v>1745025.98</v>
      </c>
      <c r="D68" s="109">
        <f aca="true" t="shared" si="21" ref="D68:O68">SUM(D69:D71)</f>
        <v>0</v>
      </c>
      <c r="E68" s="109">
        <f t="shared" si="21"/>
        <v>31100.14</v>
      </c>
      <c r="F68" s="109">
        <f t="shared" si="21"/>
        <v>27417.439999999995</v>
      </c>
      <c r="G68" s="109">
        <f t="shared" si="21"/>
        <v>107453.94</v>
      </c>
      <c r="H68" s="109">
        <f t="shared" si="21"/>
        <v>129828.75</v>
      </c>
      <c r="I68" s="109">
        <f t="shared" si="21"/>
        <v>130672.95</v>
      </c>
      <c r="J68" s="109">
        <f t="shared" si="21"/>
        <v>282605.07</v>
      </c>
      <c r="K68" s="109">
        <f t="shared" si="21"/>
        <v>136401.09999999998</v>
      </c>
      <c r="L68" s="109">
        <f t="shared" si="21"/>
        <v>132965.36</v>
      </c>
      <c r="M68" s="109">
        <f t="shared" si="21"/>
        <v>296746.58</v>
      </c>
      <c r="N68" s="109">
        <f t="shared" si="21"/>
        <v>222912.94</v>
      </c>
      <c r="O68" s="109">
        <f t="shared" si="21"/>
        <v>246921.71</v>
      </c>
    </row>
    <row r="69" spans="1:15" ht="12.75">
      <c r="A69" s="115"/>
      <c r="B69" s="128" t="s">
        <v>14</v>
      </c>
      <c r="C69" s="109">
        <f t="shared" si="13"/>
        <v>693610</v>
      </c>
      <c r="D69" s="15">
        <v>0</v>
      </c>
      <c r="E69" s="15">
        <v>22908.92</v>
      </c>
      <c r="F69" s="15">
        <v>22988.51</v>
      </c>
      <c r="G69" s="15">
        <f>49413.14+'Распределение льгот'!C6</f>
        <v>71205.34</v>
      </c>
      <c r="H69" s="15">
        <v>81388.38</v>
      </c>
      <c r="I69" s="15">
        <v>50883.46</v>
      </c>
      <c r="J69" s="15">
        <f>51952.22+'Распределение льгот'!D6</f>
        <v>65511.58</v>
      </c>
      <c r="K69" s="15">
        <v>66663.84</v>
      </c>
      <c r="L69" s="15">
        <v>57973.45</v>
      </c>
      <c r="M69" s="15">
        <f>71418.63+'Распределение льгот'!E6</f>
        <v>83550.70000000001</v>
      </c>
      <c r="N69" s="15">
        <v>74678.98</v>
      </c>
      <c r="O69" s="15">
        <f>73026.92+'Распределение льгот'!F6</f>
        <v>95856.84</v>
      </c>
    </row>
    <row r="70" spans="1:15" ht="12.75">
      <c r="A70" s="115"/>
      <c r="B70" s="128" t="s">
        <v>15</v>
      </c>
      <c r="C70" s="109">
        <f t="shared" si="13"/>
        <v>997550.6000000001</v>
      </c>
      <c r="D70" s="15">
        <v>0</v>
      </c>
      <c r="E70" s="15">
        <v>7058.52</v>
      </c>
      <c r="F70" s="15">
        <v>3199.51</v>
      </c>
      <c r="G70" s="15">
        <v>31139.04</v>
      </c>
      <c r="H70" s="15">
        <v>38683.77</v>
      </c>
      <c r="I70" s="15">
        <v>75155.45</v>
      </c>
      <c r="J70" s="15">
        <v>212428.69</v>
      </c>
      <c r="K70" s="15">
        <v>65250.77</v>
      </c>
      <c r="L70" s="15">
        <v>70144.45</v>
      </c>
      <c r="M70" s="15">
        <v>206956.45</v>
      </c>
      <c r="N70" s="15">
        <v>142080.16</v>
      </c>
      <c r="O70" s="15">
        <v>145453.79</v>
      </c>
    </row>
    <row r="71" spans="1:15" ht="12.75">
      <c r="A71" s="115"/>
      <c r="B71" s="128" t="s">
        <v>16</v>
      </c>
      <c r="C71" s="109">
        <f t="shared" si="13"/>
        <v>53865.380000000005</v>
      </c>
      <c r="D71" s="15">
        <v>0</v>
      </c>
      <c r="E71" s="15">
        <v>1132.7</v>
      </c>
      <c r="F71" s="15">
        <v>1229.42</v>
      </c>
      <c r="G71" s="15">
        <v>5109.56</v>
      </c>
      <c r="H71" s="15">
        <v>9756.6</v>
      </c>
      <c r="I71" s="15">
        <v>4634.04</v>
      </c>
      <c r="J71" s="15">
        <v>4664.8</v>
      </c>
      <c r="K71" s="15">
        <v>4486.49</v>
      </c>
      <c r="L71" s="15">
        <v>4847.46</v>
      </c>
      <c r="M71" s="15">
        <v>6239.43</v>
      </c>
      <c r="N71" s="15">
        <v>6153.8</v>
      </c>
      <c r="O71" s="15">
        <v>5611.08</v>
      </c>
    </row>
    <row r="72" spans="1:15" s="104" customFormat="1" ht="12.75">
      <c r="A72" s="107">
        <v>9</v>
      </c>
      <c r="B72" s="129" t="s">
        <v>126</v>
      </c>
      <c r="C72" s="109">
        <f t="shared" si="13"/>
        <v>-256.73000000000013</v>
      </c>
      <c r="D72" s="109">
        <f aca="true" t="shared" si="22" ref="D72:O72">SUM(D73:D75)</f>
        <v>0</v>
      </c>
      <c r="E72" s="109">
        <f t="shared" si="22"/>
        <v>0</v>
      </c>
      <c r="F72" s="109">
        <f t="shared" si="22"/>
        <v>-591.34</v>
      </c>
      <c r="G72" s="109">
        <f t="shared" si="22"/>
        <v>0</v>
      </c>
      <c r="H72" s="109">
        <f t="shared" si="22"/>
        <v>0</v>
      </c>
      <c r="I72" s="109">
        <f t="shared" si="22"/>
        <v>0</v>
      </c>
      <c r="J72" s="109">
        <f t="shared" si="22"/>
        <v>0</v>
      </c>
      <c r="K72" s="109">
        <f t="shared" si="22"/>
        <v>0</v>
      </c>
      <c r="L72" s="109">
        <f t="shared" si="22"/>
        <v>99.4</v>
      </c>
      <c r="M72" s="109">
        <f t="shared" si="22"/>
        <v>99.4</v>
      </c>
      <c r="N72" s="109">
        <f t="shared" si="22"/>
        <v>0</v>
      </c>
      <c r="O72" s="109">
        <f t="shared" si="22"/>
        <v>135.80999999999995</v>
      </c>
    </row>
    <row r="73" spans="1:15" ht="12.75">
      <c r="A73" s="115"/>
      <c r="B73" s="128" t="s">
        <v>14</v>
      </c>
      <c r="C73" s="109">
        <f t="shared" si="13"/>
        <v>186.50999999999988</v>
      </c>
      <c r="D73" s="15">
        <v>0</v>
      </c>
      <c r="E73" s="15">
        <v>0</v>
      </c>
      <c r="F73" s="15">
        <v>-591.34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99.4</v>
      </c>
      <c r="M73" s="15">
        <v>99.4</v>
      </c>
      <c r="N73" s="15">
        <v>0</v>
      </c>
      <c r="O73" s="15">
        <v>579.05</v>
      </c>
    </row>
    <row r="74" spans="1:15" ht="12.75">
      <c r="A74" s="115"/>
      <c r="B74" s="128" t="s">
        <v>15</v>
      </c>
      <c r="C74" s="109">
        <f t="shared" si="13"/>
        <v>-443.24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v>-443.24</v>
      </c>
    </row>
    <row r="75" spans="1:15" ht="12.75">
      <c r="A75" s="115"/>
      <c r="B75" s="128" t="s">
        <v>16</v>
      </c>
      <c r="C75" s="109">
        <f t="shared" si="13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04" customFormat="1" ht="12.75">
      <c r="A76" s="107">
        <v>10</v>
      </c>
      <c r="B76" s="129" t="s">
        <v>23</v>
      </c>
      <c r="C76" s="109">
        <f t="shared" si="13"/>
        <v>14867.27</v>
      </c>
      <c r="D76" s="109">
        <v>0</v>
      </c>
      <c r="E76" s="109">
        <v>164.97</v>
      </c>
      <c r="F76" s="109">
        <v>484.79</v>
      </c>
      <c r="G76" s="109">
        <v>572.01</v>
      </c>
      <c r="H76" s="109">
        <v>889.68</v>
      </c>
      <c r="I76" s="109">
        <v>213.31</v>
      </c>
      <c r="J76" s="109">
        <v>523.22</v>
      </c>
      <c r="K76" s="109">
        <v>1826.92</v>
      </c>
      <c r="L76" s="109">
        <v>2217.83</v>
      </c>
      <c r="M76" s="109">
        <v>2843.49</v>
      </c>
      <c r="N76" s="109">
        <v>2188.78</v>
      </c>
      <c r="O76" s="109">
        <v>2942.27</v>
      </c>
    </row>
    <row r="77" spans="1:15" s="104" customFormat="1" ht="12.75">
      <c r="A77" s="107">
        <v>11</v>
      </c>
      <c r="B77" s="129" t="s">
        <v>309</v>
      </c>
      <c r="C77" s="109">
        <f>SUM(D77:O77)</f>
        <v>38322.77</v>
      </c>
      <c r="D77" s="109">
        <f aca="true" t="shared" si="23" ref="D77:O77">SUM(D78:D79)</f>
        <v>0</v>
      </c>
      <c r="E77" s="109">
        <f t="shared" si="23"/>
        <v>2418.6000000000004</v>
      </c>
      <c r="F77" s="109">
        <f t="shared" si="23"/>
        <v>2313.75</v>
      </c>
      <c r="G77" s="109">
        <f t="shared" si="23"/>
        <v>5409.97</v>
      </c>
      <c r="H77" s="109">
        <f t="shared" si="23"/>
        <v>7181.46</v>
      </c>
      <c r="I77" s="109">
        <f t="shared" si="23"/>
        <v>4626.85</v>
      </c>
      <c r="J77" s="109">
        <f t="shared" si="23"/>
        <v>4882.97</v>
      </c>
      <c r="K77" s="109">
        <f t="shared" si="23"/>
        <v>4799.36</v>
      </c>
      <c r="L77" s="109">
        <f t="shared" si="23"/>
        <v>3080.98</v>
      </c>
      <c r="M77" s="109">
        <f t="shared" si="23"/>
        <v>1911.6000000000001</v>
      </c>
      <c r="N77" s="109">
        <f t="shared" si="23"/>
        <v>914.74</v>
      </c>
      <c r="O77" s="109">
        <f t="shared" si="23"/>
        <v>782.49</v>
      </c>
    </row>
    <row r="78" spans="1:15" ht="12.75">
      <c r="A78" s="115"/>
      <c r="B78" s="128" t="s">
        <v>14</v>
      </c>
      <c r="C78" s="15">
        <f>SUM(D78:O78)</f>
        <v>36873.48</v>
      </c>
      <c r="D78" s="15">
        <v>0</v>
      </c>
      <c r="E78" s="15">
        <v>2378.01</v>
      </c>
      <c r="F78" s="15">
        <v>2270.29</v>
      </c>
      <c r="G78" s="15">
        <v>5204.84</v>
      </c>
      <c r="H78" s="15">
        <v>6826.34</v>
      </c>
      <c r="I78" s="15">
        <v>4462.08</v>
      </c>
      <c r="J78" s="15">
        <v>4722.51</v>
      </c>
      <c r="K78" s="15">
        <v>4646.94</v>
      </c>
      <c r="L78" s="15">
        <v>2953.77</v>
      </c>
      <c r="M78" s="15">
        <v>1807.92</v>
      </c>
      <c r="N78" s="15">
        <v>844.3</v>
      </c>
      <c r="O78" s="15">
        <v>756.48</v>
      </c>
    </row>
    <row r="79" spans="1:15" ht="12.75">
      <c r="A79" s="115"/>
      <c r="B79" s="128" t="s">
        <v>16</v>
      </c>
      <c r="C79" s="15">
        <f>SUM(D79:O79)</f>
        <v>1449.2900000000002</v>
      </c>
      <c r="D79" s="15">
        <v>0</v>
      </c>
      <c r="E79" s="15">
        <v>40.59</v>
      </c>
      <c r="F79" s="15">
        <v>43.46</v>
      </c>
      <c r="G79" s="15">
        <v>205.13</v>
      </c>
      <c r="H79" s="15">
        <v>355.12</v>
      </c>
      <c r="I79" s="15">
        <v>164.77</v>
      </c>
      <c r="J79" s="15">
        <v>160.46</v>
      </c>
      <c r="K79" s="15">
        <v>152.42</v>
      </c>
      <c r="L79" s="15">
        <v>127.21</v>
      </c>
      <c r="M79" s="15">
        <v>103.68</v>
      </c>
      <c r="N79" s="15">
        <v>70.44</v>
      </c>
      <c r="O79" s="15">
        <v>26.01</v>
      </c>
    </row>
    <row r="80" spans="1:15" s="104" customFormat="1" ht="38.25">
      <c r="A80" s="107">
        <v>12</v>
      </c>
      <c r="B80" s="108" t="s">
        <v>114</v>
      </c>
      <c r="C80" s="109">
        <f>SUM(D80:O80)</f>
        <v>73000</v>
      </c>
      <c r="D80" s="109">
        <f>Провайдеры!C27</f>
        <v>0</v>
      </c>
      <c r="E80" s="109">
        <f>Провайдеры!D27</f>
        <v>0</v>
      </c>
      <c r="F80" s="109">
        <f>Провайдеры!E27</f>
        <v>0</v>
      </c>
      <c r="G80" s="109">
        <f>Провайдеры!F27</f>
        <v>0</v>
      </c>
      <c r="H80" s="109">
        <f>Провайдеры!G27</f>
        <v>0</v>
      </c>
      <c r="I80" s="109">
        <f>Провайдеры!H27</f>
        <v>0</v>
      </c>
      <c r="J80" s="109">
        <f>Провайдеры!I27</f>
        <v>11500</v>
      </c>
      <c r="K80" s="109">
        <f>Провайдеры!J27</f>
        <v>23000</v>
      </c>
      <c r="L80" s="109">
        <f>Провайдеры!K27</f>
        <v>6000</v>
      </c>
      <c r="M80" s="109">
        <f>Провайдеры!L27</f>
        <v>4500</v>
      </c>
      <c r="N80" s="109">
        <f>Провайдеры!M27</f>
        <v>12500</v>
      </c>
      <c r="O80" s="109">
        <f>Провайдеры!N27</f>
        <v>15500</v>
      </c>
    </row>
    <row r="81" spans="1:15" s="104" customFormat="1" ht="12.75">
      <c r="A81" s="107">
        <v>13</v>
      </c>
      <c r="B81" s="129" t="s">
        <v>125</v>
      </c>
      <c r="C81" s="109">
        <f>SUM(D81:O81)</f>
        <v>3739</v>
      </c>
      <c r="D81" s="109"/>
      <c r="E81" s="109"/>
      <c r="F81" s="109"/>
      <c r="G81" s="109"/>
      <c r="H81" s="109">
        <v>2001</v>
      </c>
      <c r="I81" s="109"/>
      <c r="J81" s="109"/>
      <c r="K81" s="109"/>
      <c r="L81" s="109"/>
      <c r="M81" s="109">
        <f>500+1238</f>
        <v>1738</v>
      </c>
      <c r="N81" s="109"/>
      <c r="O81" s="109"/>
    </row>
    <row r="82" spans="1:15" s="104" customFormat="1" ht="12.75">
      <c r="A82" s="101"/>
      <c r="B82" s="102" t="s">
        <v>310</v>
      </c>
      <c r="C82" s="103">
        <f>SUMIF($A$44:$A$81,"&lt;&gt;",C44:C81)-C77</f>
        <v>6072875.069999998</v>
      </c>
      <c r="D82" s="103">
        <f>SUMIF($A$44:$A$81,"&lt;&gt;",D44:D81)-D77</f>
        <v>0</v>
      </c>
      <c r="E82" s="103">
        <f>SUMIF($A$44:$A$81,"&lt;&gt;",E44:E81)-E77</f>
        <v>209936.12999999998</v>
      </c>
      <c r="F82" s="103">
        <f aca="true" t="shared" si="24" ref="F82:O82">SUMIF($A$44:$A$81,"&lt;&gt;",F44:F81)-F77</f>
        <v>189121.21000000002</v>
      </c>
      <c r="G82" s="103">
        <f t="shared" si="24"/>
        <v>514518.25000000006</v>
      </c>
      <c r="H82" s="103">
        <f t="shared" si="24"/>
        <v>656860.4900000001</v>
      </c>
      <c r="I82" s="103">
        <f t="shared" si="24"/>
        <v>483750.5200000001</v>
      </c>
      <c r="J82" s="103">
        <f t="shared" si="24"/>
        <v>735134.6499999999</v>
      </c>
      <c r="K82" s="103">
        <f t="shared" si="24"/>
        <v>517403.92999999993</v>
      </c>
      <c r="L82" s="103">
        <f t="shared" si="24"/>
        <v>504755.55000000005</v>
      </c>
      <c r="M82" s="103">
        <f t="shared" si="24"/>
        <v>742555.87</v>
      </c>
      <c r="N82" s="103">
        <f t="shared" si="24"/>
        <v>672826.8300000001</v>
      </c>
      <c r="O82" s="103">
        <f t="shared" si="24"/>
        <v>846011.64</v>
      </c>
    </row>
    <row r="83" spans="1:15" s="104" customFormat="1" ht="12.75">
      <c r="A83" s="101"/>
      <c r="B83" s="105"/>
      <c r="C83" s="106"/>
      <c r="D83" s="106"/>
      <c r="E83" s="106">
        <v>243905.91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1:15" s="104" customFormat="1" ht="12.75">
      <c r="A84" s="101"/>
      <c r="B84" s="105"/>
      <c r="C84" s="14">
        <f>SUM(C87,C135,C146,C151,C154,C158,C159)</f>
        <v>500654.46999999986</v>
      </c>
      <c r="D84" s="106"/>
      <c r="E84" s="106">
        <f>E83-E82</f>
        <v>33969.78000000003</v>
      </c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8:15" ht="12.75">
      <c r="H85" s="14"/>
      <c r="M85" s="14">
        <f>SUM(N85:O85)</f>
        <v>500654.47000000003</v>
      </c>
      <c r="N85" s="14">
        <v>438532.27</v>
      </c>
      <c r="O85" s="14">
        <v>62122.2</v>
      </c>
    </row>
    <row r="86" spans="1:15" ht="25.5">
      <c r="A86" s="112" t="s">
        <v>0</v>
      </c>
      <c r="B86" s="130" t="s">
        <v>25</v>
      </c>
      <c r="C86" s="107" t="s">
        <v>1</v>
      </c>
      <c r="D86" s="107" t="s">
        <v>2</v>
      </c>
      <c r="E86" s="107" t="s">
        <v>3</v>
      </c>
      <c r="F86" s="107" t="s">
        <v>4</v>
      </c>
      <c r="G86" s="107" t="s">
        <v>5</v>
      </c>
      <c r="H86" s="107" t="s">
        <v>6</v>
      </c>
      <c r="I86" s="107" t="s">
        <v>7</v>
      </c>
      <c r="J86" s="107" t="s">
        <v>8</v>
      </c>
      <c r="K86" s="107" t="s">
        <v>9</v>
      </c>
      <c r="L86" s="107" t="s">
        <v>10</v>
      </c>
      <c r="M86" s="107" t="s">
        <v>11</v>
      </c>
      <c r="N86" s="107" t="s">
        <v>12</v>
      </c>
      <c r="O86" s="107" t="s">
        <v>13</v>
      </c>
    </row>
    <row r="87" spans="1:15" s="104" customFormat="1" ht="25.5">
      <c r="A87" s="107">
        <v>1</v>
      </c>
      <c r="B87" s="108" t="s">
        <v>122</v>
      </c>
      <c r="C87" s="109">
        <f>SUM(D87:O87)</f>
        <v>452451.8499999999</v>
      </c>
      <c r="D87" s="109">
        <f>SUM(D88:D92)</f>
        <v>0</v>
      </c>
      <c r="E87" s="109">
        <f aca="true" t="shared" si="25" ref="E87:O87">SUM(E88:E92)</f>
        <v>0</v>
      </c>
      <c r="F87" s="109">
        <f t="shared" si="25"/>
        <v>0</v>
      </c>
      <c r="G87" s="109">
        <f t="shared" si="25"/>
        <v>46121.880000000005</v>
      </c>
      <c r="H87" s="109">
        <f t="shared" si="25"/>
        <v>47843.520000000004</v>
      </c>
      <c r="I87" s="109">
        <f t="shared" si="25"/>
        <v>48675.29</v>
      </c>
      <c r="J87" s="109">
        <f t="shared" si="25"/>
        <v>50338.79</v>
      </c>
      <c r="K87" s="109">
        <f t="shared" si="25"/>
        <v>50694.21000000001</v>
      </c>
      <c r="L87" s="109">
        <f t="shared" si="25"/>
        <v>50338.79</v>
      </c>
      <c r="M87" s="109">
        <f t="shared" si="25"/>
        <v>50338.79</v>
      </c>
      <c r="N87" s="109">
        <f t="shared" si="25"/>
        <v>50338.79</v>
      </c>
      <c r="O87" s="109">
        <f t="shared" si="25"/>
        <v>57761.78999999999</v>
      </c>
    </row>
    <row r="88" spans="1:15" ht="12.75">
      <c r="A88" s="115"/>
      <c r="B88" s="131" t="s">
        <v>27</v>
      </c>
      <c r="C88" s="15">
        <f aca="true" t="shared" si="26" ref="C88:C148">SUM(D88:O88)</f>
        <v>108741.24</v>
      </c>
      <c r="D88" s="15">
        <v>0</v>
      </c>
      <c r="E88" s="15">
        <v>0</v>
      </c>
      <c r="F88" s="15">
        <v>0</v>
      </c>
      <c r="G88" s="13">
        <v>12082.36</v>
      </c>
      <c r="H88" s="13">
        <v>12082.36</v>
      </c>
      <c r="I88" s="13">
        <v>12082.36</v>
      </c>
      <c r="J88" s="13">
        <v>12082.36</v>
      </c>
      <c r="K88" s="13">
        <v>12082.36</v>
      </c>
      <c r="L88" s="13">
        <v>12082.36</v>
      </c>
      <c r="M88" s="13">
        <v>12082.36</v>
      </c>
      <c r="N88" s="13">
        <v>12082.36</v>
      </c>
      <c r="O88" s="13">
        <v>12082.36</v>
      </c>
    </row>
    <row r="89" spans="1:15" ht="12.75">
      <c r="A89" s="115"/>
      <c r="B89" s="131" t="s">
        <v>28</v>
      </c>
      <c r="C89" s="15">
        <f t="shared" si="26"/>
        <v>52557.729999999996</v>
      </c>
      <c r="D89" s="15">
        <v>0</v>
      </c>
      <c r="E89" s="15">
        <v>0</v>
      </c>
      <c r="F89" s="15">
        <v>0</v>
      </c>
      <c r="G89" s="13">
        <v>5712.86</v>
      </c>
      <c r="H89" s="13">
        <v>5712.86</v>
      </c>
      <c r="I89" s="13">
        <v>5712.86</v>
      </c>
      <c r="J89" s="13">
        <v>5712.86</v>
      </c>
      <c r="K89" s="13">
        <v>5712.86</v>
      </c>
      <c r="L89" s="13">
        <v>5712.86</v>
      </c>
      <c r="M89" s="13">
        <v>5712.86</v>
      </c>
      <c r="N89" s="13">
        <v>5712.86</v>
      </c>
      <c r="O89" s="13">
        <v>6854.85</v>
      </c>
    </row>
    <row r="90" spans="1:15" ht="12.75">
      <c r="A90" s="115"/>
      <c r="B90" s="131" t="s">
        <v>29</v>
      </c>
      <c r="C90" s="15">
        <f t="shared" si="26"/>
        <v>265671.4199999999</v>
      </c>
      <c r="D90" s="15">
        <v>0</v>
      </c>
      <c r="E90" s="15">
        <v>0</v>
      </c>
      <c r="F90" s="15">
        <v>0</v>
      </c>
      <c r="G90" s="13">
        <v>20146.02</v>
      </c>
      <c r="H90" s="13">
        <v>30048.3</v>
      </c>
      <c r="I90" s="13">
        <v>30048.29</v>
      </c>
      <c r="J90" s="13">
        <v>30048.3</v>
      </c>
      <c r="K90" s="13">
        <v>30048.3</v>
      </c>
      <c r="L90" s="13">
        <v>30048.3</v>
      </c>
      <c r="M90" s="13">
        <v>30048.3</v>
      </c>
      <c r="N90" s="13">
        <v>30048.3</v>
      </c>
      <c r="O90" s="13">
        <v>35187.31</v>
      </c>
    </row>
    <row r="91" spans="1:15" ht="25.5">
      <c r="A91" s="115"/>
      <c r="B91" s="131" t="s">
        <v>85</v>
      </c>
      <c r="C91" s="15">
        <f t="shared" si="26"/>
        <v>8180.64</v>
      </c>
      <c r="D91" s="15"/>
      <c r="E91" s="15"/>
      <c r="F91" s="15"/>
      <c r="G91" s="13">
        <v>8180.64</v>
      </c>
      <c r="H91" s="13"/>
      <c r="I91" s="13"/>
      <c r="J91" s="13"/>
      <c r="K91" s="13"/>
      <c r="L91" s="13"/>
      <c r="M91" s="13"/>
      <c r="N91" s="13"/>
      <c r="O91" s="13"/>
    </row>
    <row r="92" spans="1:15" ht="12.75">
      <c r="A92" s="115"/>
      <c r="B92" s="131" t="s">
        <v>30</v>
      </c>
      <c r="C92" s="15">
        <f t="shared" si="26"/>
        <v>17300.82</v>
      </c>
      <c r="D92" s="15">
        <v>0</v>
      </c>
      <c r="E92" s="15">
        <v>0</v>
      </c>
      <c r="F92" s="15">
        <v>0</v>
      </c>
      <c r="G92" s="13"/>
      <c r="H92" s="13"/>
      <c r="I92" s="13">
        <v>831.78</v>
      </c>
      <c r="J92" s="13">
        <v>2495.27</v>
      </c>
      <c r="K92" s="13">
        <v>2850.69</v>
      </c>
      <c r="L92" s="13">
        <v>2495.27</v>
      </c>
      <c r="M92" s="13">
        <v>2495.27</v>
      </c>
      <c r="N92" s="13">
        <v>2495.27</v>
      </c>
      <c r="O92" s="13">
        <v>3637.27</v>
      </c>
    </row>
    <row r="93" spans="1:15" s="104" customFormat="1" ht="12.75">
      <c r="A93" s="107">
        <v>2</v>
      </c>
      <c r="B93" s="108" t="s">
        <v>26</v>
      </c>
      <c r="C93" s="109">
        <f t="shared" si="26"/>
        <v>478026</v>
      </c>
      <c r="D93" s="109">
        <f>SUM(D94:D99)</f>
        <v>102556</v>
      </c>
      <c r="E93" s="109">
        <f aca="true" t="shared" si="27" ref="E93:O93">SUM(E94:E99)</f>
        <v>102556</v>
      </c>
      <c r="F93" s="109">
        <f t="shared" si="27"/>
        <v>102556</v>
      </c>
      <c r="G93" s="109">
        <f t="shared" si="27"/>
        <v>31052</v>
      </c>
      <c r="H93" s="109">
        <f t="shared" si="27"/>
        <v>24412</v>
      </c>
      <c r="I93" s="109">
        <f t="shared" si="27"/>
        <v>24412</v>
      </c>
      <c r="J93" s="109">
        <f t="shared" si="27"/>
        <v>20497</v>
      </c>
      <c r="K93" s="109">
        <f t="shared" si="27"/>
        <v>13997</v>
      </c>
      <c r="L93" s="109">
        <f t="shared" si="27"/>
        <v>13997</v>
      </c>
      <c r="M93" s="109">
        <f t="shared" si="27"/>
        <v>13997</v>
      </c>
      <c r="N93" s="109">
        <f t="shared" si="27"/>
        <v>13997</v>
      </c>
      <c r="O93" s="109">
        <f t="shared" si="27"/>
        <v>13997</v>
      </c>
    </row>
    <row r="94" spans="1:15" ht="25.5">
      <c r="A94" s="115"/>
      <c r="B94" s="131" t="s">
        <v>31</v>
      </c>
      <c r="C94" s="15">
        <f t="shared" si="26"/>
        <v>11925</v>
      </c>
      <c r="D94" s="15">
        <v>3975</v>
      </c>
      <c r="E94" s="15">
        <v>3975</v>
      </c>
      <c r="F94" s="15">
        <v>3975</v>
      </c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>
      <c r="A95" s="115"/>
      <c r="B95" s="131" t="s">
        <v>32</v>
      </c>
      <c r="C95" s="15">
        <f t="shared" si="26"/>
        <v>113850</v>
      </c>
      <c r="D95" s="15">
        <v>37950</v>
      </c>
      <c r="E95" s="15">
        <v>37950</v>
      </c>
      <c r="F95" s="15">
        <v>37950</v>
      </c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38.25">
      <c r="A96" s="115"/>
      <c r="B96" s="131" t="s">
        <v>79</v>
      </c>
      <c r="C96" s="15">
        <f t="shared" si="26"/>
        <v>88737</v>
      </c>
      <c r="D96" s="15">
        <v>29579</v>
      </c>
      <c r="E96" s="15">
        <v>29579</v>
      </c>
      <c r="F96" s="15">
        <v>29579</v>
      </c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51">
      <c r="A97" s="115"/>
      <c r="B97" s="131" t="s">
        <v>77</v>
      </c>
      <c r="C97" s="15">
        <f t="shared" si="26"/>
        <v>30550</v>
      </c>
      <c r="D97" s="15">
        <v>7305</v>
      </c>
      <c r="E97" s="15">
        <v>7305</v>
      </c>
      <c r="F97" s="15">
        <v>7305</v>
      </c>
      <c r="G97" s="15">
        <v>7305</v>
      </c>
      <c r="H97" s="15">
        <v>665</v>
      </c>
      <c r="I97" s="15">
        <v>665</v>
      </c>
      <c r="J97" s="15"/>
      <c r="K97" s="15"/>
      <c r="L97" s="15"/>
      <c r="M97" s="15"/>
      <c r="N97" s="15"/>
      <c r="O97" s="15"/>
    </row>
    <row r="98" spans="1:15" ht="51">
      <c r="A98" s="115"/>
      <c r="B98" s="131" t="s">
        <v>78</v>
      </c>
      <c r="C98" s="15">
        <f t="shared" si="26"/>
        <v>104000</v>
      </c>
      <c r="D98" s="15">
        <v>13000</v>
      </c>
      <c r="E98" s="15">
        <v>13000</v>
      </c>
      <c r="F98" s="15">
        <v>13000</v>
      </c>
      <c r="G98" s="15">
        <v>13000</v>
      </c>
      <c r="H98" s="15">
        <v>13000</v>
      </c>
      <c r="I98" s="15">
        <v>13000</v>
      </c>
      <c r="J98" s="15">
        <v>9750</v>
      </c>
      <c r="K98" s="15">
        <v>3250</v>
      </c>
      <c r="L98" s="15">
        <v>3250</v>
      </c>
      <c r="M98" s="15">
        <v>3250</v>
      </c>
      <c r="N98" s="15">
        <v>3250</v>
      </c>
      <c r="O98" s="15">
        <v>3250</v>
      </c>
    </row>
    <row r="99" spans="1:15" ht="12.75">
      <c r="A99" s="115"/>
      <c r="B99" s="131" t="s">
        <v>33</v>
      </c>
      <c r="C99" s="15">
        <f t="shared" si="26"/>
        <v>128964</v>
      </c>
      <c r="D99" s="15">
        <v>10747</v>
      </c>
      <c r="E99" s="15">
        <v>10747</v>
      </c>
      <c r="F99" s="15">
        <v>10747</v>
      </c>
      <c r="G99" s="15">
        <v>10747</v>
      </c>
      <c r="H99" s="15">
        <v>10747</v>
      </c>
      <c r="I99" s="15">
        <v>10747</v>
      </c>
      <c r="J99" s="15">
        <v>10747</v>
      </c>
      <c r="K99" s="15">
        <v>10747</v>
      </c>
      <c r="L99" s="15">
        <v>10747</v>
      </c>
      <c r="M99" s="15">
        <v>10747</v>
      </c>
      <c r="N99" s="15">
        <v>10747</v>
      </c>
      <c r="O99" s="15">
        <v>10747</v>
      </c>
    </row>
    <row r="100" spans="1:15" s="104" customFormat="1" ht="12.75">
      <c r="A100" s="107">
        <v>3</v>
      </c>
      <c r="B100" s="108" t="s">
        <v>34</v>
      </c>
      <c r="C100" s="109">
        <f t="shared" si="26"/>
        <v>497440</v>
      </c>
      <c r="D100" s="109">
        <f>SUM(D101:D102)</f>
        <v>0</v>
      </c>
      <c r="E100" s="109">
        <f aca="true" t="shared" si="28" ref="E100:O100">SUM(E101:E102)</f>
        <v>0</v>
      </c>
      <c r="F100" s="109">
        <f t="shared" si="28"/>
        <v>35544</v>
      </c>
      <c r="G100" s="109">
        <f t="shared" si="28"/>
        <v>35544</v>
      </c>
      <c r="H100" s="109">
        <f t="shared" si="28"/>
        <v>35544</v>
      </c>
      <c r="I100" s="109">
        <f t="shared" si="28"/>
        <v>53544</v>
      </c>
      <c r="J100" s="109">
        <f t="shared" si="28"/>
        <v>53544</v>
      </c>
      <c r="K100" s="109">
        <f t="shared" si="28"/>
        <v>53544</v>
      </c>
      <c r="L100" s="109">
        <f t="shared" si="28"/>
        <v>64544</v>
      </c>
      <c r="M100" s="109">
        <f t="shared" si="28"/>
        <v>53544</v>
      </c>
      <c r="N100" s="109">
        <f t="shared" si="28"/>
        <v>53544</v>
      </c>
      <c r="O100" s="109">
        <f t="shared" si="28"/>
        <v>58544</v>
      </c>
    </row>
    <row r="101" spans="1:15" ht="38.25">
      <c r="A101" s="117"/>
      <c r="B101" s="131" t="s">
        <v>35</v>
      </c>
      <c r="C101" s="15">
        <f t="shared" si="26"/>
        <v>486440</v>
      </c>
      <c r="D101" s="15"/>
      <c r="E101" s="15"/>
      <c r="F101" s="15">
        <v>35544</v>
      </c>
      <c r="G101" s="15">
        <v>35544</v>
      </c>
      <c r="H101" s="15">
        <v>35544</v>
      </c>
      <c r="I101" s="15">
        <v>53544</v>
      </c>
      <c r="J101" s="15">
        <v>53544</v>
      </c>
      <c r="K101" s="15">
        <v>53544</v>
      </c>
      <c r="L101" s="15">
        <v>53544</v>
      </c>
      <c r="M101" s="15">
        <v>53544</v>
      </c>
      <c r="N101" s="15">
        <v>53544</v>
      </c>
      <c r="O101" s="15">
        <v>58544</v>
      </c>
    </row>
    <row r="102" spans="1:15" ht="25.5">
      <c r="A102" s="115"/>
      <c r="B102" s="131" t="s">
        <v>295</v>
      </c>
      <c r="C102" s="15">
        <f t="shared" si="26"/>
        <v>11000</v>
      </c>
      <c r="D102" s="15"/>
      <c r="E102" s="15"/>
      <c r="F102" s="15"/>
      <c r="G102" s="15"/>
      <c r="H102" s="15"/>
      <c r="I102" s="15"/>
      <c r="J102" s="15"/>
      <c r="K102" s="15"/>
      <c r="L102" s="15">
        <v>11000</v>
      </c>
      <c r="M102" s="15"/>
      <c r="N102" s="15"/>
      <c r="O102" s="15"/>
    </row>
    <row r="103" spans="1:15" s="104" customFormat="1" ht="12.75">
      <c r="A103" s="107">
        <v>4</v>
      </c>
      <c r="B103" s="108" t="s">
        <v>37</v>
      </c>
      <c r="C103" s="109">
        <f t="shared" si="26"/>
        <v>37660</v>
      </c>
      <c r="D103" s="109">
        <f>SUM(D104:D106)</f>
        <v>8306</v>
      </c>
      <c r="E103" s="109">
        <f aca="true" t="shared" si="29" ref="E103:O103">SUM(E104:E106)</f>
        <v>8306</v>
      </c>
      <c r="F103" s="109">
        <f t="shared" si="29"/>
        <v>8306</v>
      </c>
      <c r="G103" s="109">
        <f t="shared" si="29"/>
        <v>5442</v>
      </c>
      <c r="H103" s="109">
        <f t="shared" si="29"/>
        <v>0</v>
      </c>
      <c r="I103" s="109">
        <f t="shared" si="29"/>
        <v>0</v>
      </c>
      <c r="J103" s="109">
        <f t="shared" si="29"/>
        <v>0</v>
      </c>
      <c r="K103" s="109">
        <f t="shared" si="29"/>
        <v>0</v>
      </c>
      <c r="L103" s="109">
        <f t="shared" si="29"/>
        <v>0</v>
      </c>
      <c r="M103" s="109">
        <f t="shared" si="29"/>
        <v>4450</v>
      </c>
      <c r="N103" s="109">
        <f t="shared" si="29"/>
        <v>2850</v>
      </c>
      <c r="O103" s="109">
        <f t="shared" si="29"/>
        <v>0</v>
      </c>
    </row>
    <row r="104" spans="1:15" ht="25.5">
      <c r="A104" s="115"/>
      <c r="B104" s="131" t="s">
        <v>40</v>
      </c>
      <c r="C104" s="15">
        <f t="shared" si="26"/>
        <v>14600</v>
      </c>
      <c r="D104" s="15">
        <v>3650</v>
      </c>
      <c r="E104" s="15">
        <v>3650</v>
      </c>
      <c r="F104" s="15">
        <v>3650</v>
      </c>
      <c r="G104" s="15">
        <v>3650</v>
      </c>
      <c r="H104" s="15"/>
      <c r="I104" s="15"/>
      <c r="J104" s="15"/>
      <c r="K104" s="15"/>
      <c r="L104" s="15"/>
      <c r="M104" s="15"/>
      <c r="N104" s="15"/>
      <c r="O104" s="15"/>
    </row>
    <row r="105" spans="1:15" ht="25.5">
      <c r="A105" s="117"/>
      <c r="B105" s="131" t="s">
        <v>39</v>
      </c>
      <c r="C105" s="15">
        <f t="shared" si="26"/>
        <v>15760</v>
      </c>
      <c r="D105" s="15">
        <v>4656</v>
      </c>
      <c r="E105" s="15">
        <v>4656</v>
      </c>
      <c r="F105" s="15">
        <v>4656</v>
      </c>
      <c r="G105" s="15">
        <f>3940-2148</f>
        <v>1792</v>
      </c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17"/>
      <c r="B106" s="131" t="s">
        <v>99</v>
      </c>
      <c r="C106" s="15">
        <f t="shared" si="26"/>
        <v>7300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f>1950+2500</f>
        <v>4450</v>
      </c>
      <c r="N106" s="15">
        <v>2850</v>
      </c>
      <c r="O106" s="15"/>
    </row>
    <row r="107" spans="1:15" s="104" customFormat="1" ht="12.75">
      <c r="A107" s="107">
        <v>5</v>
      </c>
      <c r="B107" s="108" t="s">
        <v>38</v>
      </c>
      <c r="C107" s="109">
        <f t="shared" si="26"/>
        <v>324063.43</v>
      </c>
      <c r="D107" s="109">
        <f>SUM(D108:D113)</f>
        <v>0</v>
      </c>
      <c r="E107" s="109">
        <f aca="true" t="shared" si="30" ref="E107:O107">SUM(E108:E113)</f>
        <v>21000</v>
      </c>
      <c r="F107" s="109">
        <f t="shared" si="30"/>
        <v>42000</v>
      </c>
      <c r="G107" s="109">
        <f t="shared" si="30"/>
        <v>21600</v>
      </c>
      <c r="H107" s="109">
        <f t="shared" si="30"/>
        <v>35343.43</v>
      </c>
      <c r="I107" s="109">
        <f t="shared" si="30"/>
        <v>33150</v>
      </c>
      <c r="J107" s="109">
        <f t="shared" si="30"/>
        <v>27750</v>
      </c>
      <c r="K107" s="109">
        <f t="shared" si="30"/>
        <v>32885</v>
      </c>
      <c r="L107" s="109">
        <f t="shared" si="30"/>
        <v>25750</v>
      </c>
      <c r="M107" s="109">
        <f t="shared" si="30"/>
        <v>32885</v>
      </c>
      <c r="N107" s="109">
        <f t="shared" si="30"/>
        <v>25850</v>
      </c>
      <c r="O107" s="109">
        <f t="shared" si="30"/>
        <v>25850</v>
      </c>
    </row>
    <row r="108" spans="1:15" ht="24" customHeight="1">
      <c r="A108" s="115"/>
      <c r="B108" s="131" t="s">
        <v>44</v>
      </c>
      <c r="C108" s="15">
        <f t="shared" si="26"/>
        <v>256500</v>
      </c>
      <c r="D108" s="15"/>
      <c r="E108" s="15">
        <v>21000</v>
      </c>
      <c r="F108" s="15">
        <v>42000</v>
      </c>
      <c r="G108" s="15">
        <v>21600</v>
      </c>
      <c r="H108" s="15">
        <v>21800</v>
      </c>
      <c r="I108" s="15">
        <v>21500</v>
      </c>
      <c r="J108" s="15">
        <v>21400</v>
      </c>
      <c r="K108" s="15">
        <v>21400</v>
      </c>
      <c r="L108" s="15">
        <v>21400</v>
      </c>
      <c r="M108" s="15">
        <v>21400</v>
      </c>
      <c r="N108" s="15">
        <v>21500</v>
      </c>
      <c r="O108" s="16">
        <v>21500</v>
      </c>
    </row>
    <row r="109" spans="1:15" ht="25.5">
      <c r="A109" s="115"/>
      <c r="B109" s="131" t="s">
        <v>39</v>
      </c>
      <c r="C109" s="15">
        <f t="shared" si="26"/>
        <v>34800</v>
      </c>
      <c r="D109" s="15"/>
      <c r="E109" s="15"/>
      <c r="F109" s="15"/>
      <c r="G109" s="15"/>
      <c r="H109" s="15">
        <v>4350</v>
      </c>
      <c r="I109" s="15">
        <v>4350</v>
      </c>
      <c r="J109" s="15">
        <v>4350</v>
      </c>
      <c r="K109" s="15">
        <v>4350</v>
      </c>
      <c r="L109" s="15">
        <v>4350</v>
      </c>
      <c r="M109" s="15">
        <v>4350</v>
      </c>
      <c r="N109" s="15">
        <v>4350</v>
      </c>
      <c r="O109" s="15">
        <v>4350</v>
      </c>
    </row>
    <row r="110" spans="1:15" ht="25.5">
      <c r="A110" s="115"/>
      <c r="B110" s="131" t="s">
        <v>40</v>
      </c>
      <c r="C110" s="15">
        <f t="shared" si="26"/>
        <v>14600</v>
      </c>
      <c r="D110" s="15"/>
      <c r="E110" s="15"/>
      <c r="F110" s="15"/>
      <c r="G110" s="15"/>
      <c r="H110" s="15">
        <v>7300</v>
      </c>
      <c r="I110" s="15">
        <v>7300</v>
      </c>
      <c r="J110" s="15"/>
      <c r="K110" s="15"/>
      <c r="L110" s="15"/>
      <c r="M110" s="15"/>
      <c r="N110" s="15"/>
      <c r="O110" s="15"/>
    </row>
    <row r="111" spans="1:15" ht="25.5">
      <c r="A111" s="115"/>
      <c r="B111" s="131" t="s">
        <v>43</v>
      </c>
      <c r="C111" s="15">
        <f t="shared" si="26"/>
        <v>14270</v>
      </c>
      <c r="D111" s="15"/>
      <c r="E111" s="15"/>
      <c r="F111" s="15"/>
      <c r="G111" s="15"/>
      <c r="H111" s="15"/>
      <c r="I111" s="15"/>
      <c r="J111" s="15"/>
      <c r="K111" s="15">
        <v>7135</v>
      </c>
      <c r="L111" s="15"/>
      <c r="M111" s="15">
        <v>7135</v>
      </c>
      <c r="N111" s="15"/>
      <c r="O111" s="15"/>
    </row>
    <row r="112" spans="1:15" ht="12.75">
      <c r="A112" s="115"/>
      <c r="B112" s="131" t="s">
        <v>41</v>
      </c>
      <c r="C112" s="15">
        <f t="shared" si="26"/>
        <v>1893.43</v>
      </c>
      <c r="D112" s="15"/>
      <c r="E112" s="15"/>
      <c r="F112" s="15"/>
      <c r="G112" s="15"/>
      <c r="H112" s="15">
        <v>1893.43</v>
      </c>
      <c r="I112" s="15"/>
      <c r="J112" s="15"/>
      <c r="K112" s="15"/>
      <c r="L112" s="15"/>
      <c r="M112" s="15"/>
      <c r="N112" s="15"/>
      <c r="O112" s="15"/>
    </row>
    <row r="113" spans="1:15" ht="12.75">
      <c r="A113" s="115"/>
      <c r="B113" s="131" t="s">
        <v>42</v>
      </c>
      <c r="C113" s="15">
        <f t="shared" si="26"/>
        <v>2000</v>
      </c>
      <c r="D113" s="15"/>
      <c r="E113" s="15"/>
      <c r="F113" s="15"/>
      <c r="G113" s="15"/>
      <c r="H113" s="15"/>
      <c r="I113" s="15"/>
      <c r="J113" s="15">
        <v>2000</v>
      </c>
      <c r="K113" s="15"/>
      <c r="L113" s="15"/>
      <c r="M113" s="15"/>
      <c r="N113" s="15"/>
      <c r="O113" s="15"/>
    </row>
    <row r="114" spans="1:15" ht="12.75">
      <c r="A114" s="107">
        <v>6</v>
      </c>
      <c r="B114" s="129" t="s">
        <v>45</v>
      </c>
      <c r="C114" s="109">
        <f t="shared" si="26"/>
        <v>299544.13</v>
      </c>
      <c r="D114" s="109">
        <f>SUM(D115:D116)</f>
        <v>22296.51</v>
      </c>
      <c r="E114" s="109">
        <f aca="true" t="shared" si="31" ref="E114:O114">SUM(E115:E116)</f>
        <v>22296.51</v>
      </c>
      <c r="F114" s="109">
        <f t="shared" si="31"/>
        <v>22296.51</v>
      </c>
      <c r="G114" s="109">
        <f t="shared" si="31"/>
        <v>22296.51</v>
      </c>
      <c r="H114" s="109">
        <f t="shared" si="31"/>
        <v>22296.51</v>
      </c>
      <c r="I114" s="109">
        <f t="shared" si="31"/>
        <v>22296.51</v>
      </c>
      <c r="J114" s="109">
        <f t="shared" si="31"/>
        <v>22296.51</v>
      </c>
      <c r="K114" s="109">
        <f t="shared" si="31"/>
        <v>22296.51</v>
      </c>
      <c r="L114" s="109">
        <f t="shared" si="31"/>
        <v>54282.52</v>
      </c>
      <c r="M114" s="109">
        <f t="shared" si="31"/>
        <v>22296.51</v>
      </c>
      <c r="N114" s="109">
        <f t="shared" si="31"/>
        <v>22296.51</v>
      </c>
      <c r="O114" s="109">
        <f t="shared" si="31"/>
        <v>22296.51</v>
      </c>
    </row>
    <row r="115" spans="1:15" ht="25.5">
      <c r="A115" s="115"/>
      <c r="B115" s="131" t="s">
        <v>46</v>
      </c>
      <c r="C115" s="15">
        <f t="shared" si="26"/>
        <v>267558.12000000005</v>
      </c>
      <c r="D115" s="15">
        <v>22296.51</v>
      </c>
      <c r="E115" s="16">
        <v>22296.51</v>
      </c>
      <c r="F115" s="16">
        <v>22296.51</v>
      </c>
      <c r="G115" s="16">
        <v>22296.51</v>
      </c>
      <c r="H115" s="16">
        <v>22296.51</v>
      </c>
      <c r="I115" s="15">
        <v>22296.51</v>
      </c>
      <c r="J115" s="15">
        <v>22296.51</v>
      </c>
      <c r="K115" s="15">
        <v>22296.51</v>
      </c>
      <c r="L115" s="15">
        <v>22296.51</v>
      </c>
      <c r="M115" s="15">
        <v>22296.51</v>
      </c>
      <c r="N115" s="15">
        <v>22296.51</v>
      </c>
      <c r="O115" s="15">
        <v>22296.51</v>
      </c>
    </row>
    <row r="116" spans="1:15" ht="25.5">
      <c r="A116" s="115"/>
      <c r="B116" s="131" t="s">
        <v>47</v>
      </c>
      <c r="C116" s="15">
        <f t="shared" si="26"/>
        <v>31986.01</v>
      </c>
      <c r="D116" s="15"/>
      <c r="E116" s="15"/>
      <c r="F116" s="16"/>
      <c r="G116" s="16"/>
      <c r="H116" s="16"/>
      <c r="I116" s="15"/>
      <c r="J116" s="15"/>
      <c r="K116" s="15"/>
      <c r="L116" s="15">
        <v>31986.01</v>
      </c>
      <c r="M116" s="15"/>
      <c r="N116" s="15"/>
      <c r="O116" s="15"/>
    </row>
    <row r="117" spans="1:15" ht="38.25">
      <c r="A117" s="107">
        <v>7</v>
      </c>
      <c r="B117" s="108" t="s">
        <v>115</v>
      </c>
      <c r="C117" s="109">
        <f t="shared" si="26"/>
        <v>71594.23999999999</v>
      </c>
      <c r="D117" s="132">
        <v>5966</v>
      </c>
      <c r="E117" s="132">
        <v>5966</v>
      </c>
      <c r="F117" s="132">
        <v>5966</v>
      </c>
      <c r="G117" s="132">
        <v>5966</v>
      </c>
      <c r="H117" s="132">
        <v>5966</v>
      </c>
      <c r="I117" s="109">
        <v>5966.32</v>
      </c>
      <c r="J117" s="109">
        <v>5966.32</v>
      </c>
      <c r="K117" s="109">
        <v>5966.32</v>
      </c>
      <c r="L117" s="109">
        <v>5966.32</v>
      </c>
      <c r="M117" s="109">
        <v>5966.32</v>
      </c>
      <c r="N117" s="109">
        <v>5966.32</v>
      </c>
      <c r="O117" s="109">
        <v>5966.32</v>
      </c>
    </row>
    <row r="118" spans="1:15" ht="38.25">
      <c r="A118" s="107">
        <v>8</v>
      </c>
      <c r="B118" s="108" t="s">
        <v>48</v>
      </c>
      <c r="C118" s="109">
        <f t="shared" si="26"/>
        <v>13810</v>
      </c>
      <c r="D118" s="109"/>
      <c r="E118" s="132"/>
      <c r="F118" s="132"/>
      <c r="G118" s="109"/>
      <c r="H118" s="109">
        <v>5310</v>
      </c>
      <c r="I118" s="109"/>
      <c r="J118" s="109"/>
      <c r="K118" s="109"/>
      <c r="L118" s="109">
        <v>3400</v>
      </c>
      <c r="M118" s="109"/>
      <c r="N118" s="109"/>
      <c r="O118" s="109">
        <v>5100</v>
      </c>
    </row>
    <row r="119" spans="1:15" ht="38.25">
      <c r="A119" s="107">
        <v>9</v>
      </c>
      <c r="B119" s="108" t="s">
        <v>51</v>
      </c>
      <c r="C119" s="109">
        <f t="shared" si="26"/>
        <v>16800</v>
      </c>
      <c r="D119" s="133">
        <v>4200</v>
      </c>
      <c r="E119" s="132">
        <v>4200</v>
      </c>
      <c r="F119" s="132">
        <v>4200</v>
      </c>
      <c r="G119" s="132">
        <v>4200</v>
      </c>
      <c r="H119" s="132"/>
      <c r="I119" s="109"/>
      <c r="J119" s="109"/>
      <c r="K119" s="109"/>
      <c r="L119" s="109"/>
      <c r="M119" s="109"/>
      <c r="N119" s="109"/>
      <c r="O119" s="109"/>
    </row>
    <row r="120" spans="1:15" ht="25.5">
      <c r="A120" s="107">
        <v>10</v>
      </c>
      <c r="B120" s="108" t="s">
        <v>50</v>
      </c>
      <c r="C120" s="109">
        <f t="shared" si="26"/>
        <v>28980</v>
      </c>
      <c r="D120" s="15"/>
      <c r="E120" s="15"/>
      <c r="F120" s="15"/>
      <c r="G120" s="15"/>
      <c r="H120" s="16"/>
      <c r="I120" s="15"/>
      <c r="J120" s="109"/>
      <c r="K120" s="109">
        <v>4830</v>
      </c>
      <c r="L120" s="109">
        <v>4830</v>
      </c>
      <c r="M120" s="109">
        <v>4830</v>
      </c>
      <c r="N120" s="109">
        <f>4830*2</f>
        <v>9660</v>
      </c>
      <c r="O120" s="109">
        <v>4830</v>
      </c>
    </row>
    <row r="121" spans="1:15" ht="25.5">
      <c r="A121" s="107">
        <v>11</v>
      </c>
      <c r="B121" s="108" t="s">
        <v>49</v>
      </c>
      <c r="C121" s="109">
        <f t="shared" si="26"/>
        <v>32954.56</v>
      </c>
      <c r="D121" s="109">
        <v>2337</v>
      </c>
      <c r="E121" s="109">
        <v>2337</v>
      </c>
      <c r="F121" s="109">
        <v>2337</v>
      </c>
      <c r="G121" s="132">
        <v>2337</v>
      </c>
      <c r="H121" s="132">
        <v>2950.82</v>
      </c>
      <c r="I121" s="132">
        <v>2950.82</v>
      </c>
      <c r="J121" s="109">
        <v>2950.82</v>
      </c>
      <c r="K121" s="109">
        <v>2950.82</v>
      </c>
      <c r="L121" s="109">
        <v>2950.82</v>
      </c>
      <c r="M121" s="109">
        <v>2950.82</v>
      </c>
      <c r="N121" s="109">
        <v>2950.82</v>
      </c>
      <c r="O121" s="109">
        <v>2950.82</v>
      </c>
    </row>
    <row r="122" spans="1:15" ht="25.5">
      <c r="A122" s="107">
        <v>12</v>
      </c>
      <c r="B122" s="108" t="s">
        <v>55</v>
      </c>
      <c r="C122" s="109">
        <f t="shared" si="26"/>
        <v>8332.150000000001</v>
      </c>
      <c r="D122" s="109">
        <f>SUM(D123:D124)</f>
        <v>1100</v>
      </c>
      <c r="E122" s="109">
        <f aca="true" t="shared" si="32" ref="E122:O122">SUM(E123:E124)</f>
        <v>0</v>
      </c>
      <c r="F122" s="109">
        <f t="shared" si="32"/>
        <v>440</v>
      </c>
      <c r="G122" s="109">
        <f t="shared" si="32"/>
        <v>720.72</v>
      </c>
      <c r="H122" s="109">
        <f t="shared" si="32"/>
        <v>664.21</v>
      </c>
      <c r="I122" s="109">
        <f t="shared" si="32"/>
        <v>548</v>
      </c>
      <c r="J122" s="109">
        <f t="shared" si="32"/>
        <v>836</v>
      </c>
      <c r="K122" s="109">
        <f t="shared" si="32"/>
        <v>704</v>
      </c>
      <c r="L122" s="109">
        <f t="shared" si="32"/>
        <v>943.22</v>
      </c>
      <c r="M122" s="109">
        <f t="shared" si="32"/>
        <v>878</v>
      </c>
      <c r="N122" s="109">
        <f t="shared" si="32"/>
        <v>782</v>
      </c>
      <c r="O122" s="109">
        <f t="shared" si="32"/>
        <v>716</v>
      </c>
    </row>
    <row r="123" spans="1:15" ht="12.75">
      <c r="A123" s="107"/>
      <c r="B123" s="131" t="s">
        <v>58</v>
      </c>
      <c r="C123" s="15">
        <f t="shared" si="26"/>
        <v>7816</v>
      </c>
      <c r="D123" s="15">
        <v>1100</v>
      </c>
      <c r="E123" s="16"/>
      <c r="F123" s="15">
        <f>40+400</f>
        <v>440</v>
      </c>
      <c r="G123" s="15">
        <f>16+400+150</f>
        <v>566</v>
      </c>
      <c r="H123" s="15">
        <f>100+400</f>
        <v>500</v>
      </c>
      <c r="I123" s="15">
        <f>148+400</f>
        <v>548</v>
      </c>
      <c r="J123" s="15">
        <f>336+500</f>
        <v>836</v>
      </c>
      <c r="K123" s="15">
        <f>204+500</f>
        <v>704</v>
      </c>
      <c r="L123" s="15">
        <f>276+500</f>
        <v>776</v>
      </c>
      <c r="M123" s="15">
        <f>378+500</f>
        <v>878</v>
      </c>
      <c r="N123" s="15">
        <f>252+500</f>
        <v>752</v>
      </c>
      <c r="O123" s="15">
        <f>216+500</f>
        <v>716</v>
      </c>
    </row>
    <row r="124" spans="1:15" ht="12.75">
      <c r="A124" s="107"/>
      <c r="B124" s="131" t="s">
        <v>59</v>
      </c>
      <c r="C124" s="15">
        <f t="shared" si="26"/>
        <v>516.15</v>
      </c>
      <c r="D124" s="15"/>
      <c r="E124" s="15"/>
      <c r="F124" s="15"/>
      <c r="G124" s="15">
        <v>154.72</v>
      </c>
      <c r="H124" s="15">
        <v>164.21</v>
      </c>
      <c r="I124" s="15"/>
      <c r="J124" s="15"/>
      <c r="K124" s="15"/>
      <c r="L124" s="15">
        <v>167.22</v>
      </c>
      <c r="M124" s="15"/>
      <c r="N124" s="15">
        <v>30</v>
      </c>
      <c r="O124" s="15"/>
    </row>
    <row r="125" spans="1:15" ht="25.5">
      <c r="A125" s="107">
        <v>13</v>
      </c>
      <c r="B125" s="108" t="s">
        <v>80</v>
      </c>
      <c r="C125" s="109">
        <f t="shared" si="26"/>
        <v>1825</v>
      </c>
      <c r="D125" s="109"/>
      <c r="E125" s="109"/>
      <c r="F125" s="109"/>
      <c r="G125" s="109">
        <f>1800+25</f>
        <v>1825</v>
      </c>
      <c r="H125" s="109"/>
      <c r="I125" s="109"/>
      <c r="J125" s="109"/>
      <c r="K125" s="109"/>
      <c r="L125" s="109"/>
      <c r="M125" s="109"/>
      <c r="N125" s="109"/>
      <c r="O125" s="109"/>
    </row>
    <row r="126" spans="1:15" ht="38.25">
      <c r="A126" s="107">
        <v>14</v>
      </c>
      <c r="B126" s="108" t="s">
        <v>56</v>
      </c>
      <c r="C126" s="109">
        <f t="shared" si="26"/>
        <v>500</v>
      </c>
      <c r="D126" s="109"/>
      <c r="E126" s="109"/>
      <c r="F126" s="109"/>
      <c r="G126" s="109"/>
      <c r="H126" s="109"/>
      <c r="I126" s="109"/>
      <c r="J126" s="109"/>
      <c r="K126" s="109">
        <v>100</v>
      </c>
      <c r="L126" s="109">
        <v>100</v>
      </c>
      <c r="M126" s="109">
        <v>100</v>
      </c>
      <c r="N126" s="109">
        <v>100</v>
      </c>
      <c r="O126" s="109">
        <v>100</v>
      </c>
    </row>
    <row r="127" spans="1:15" ht="38.25">
      <c r="A127" s="107">
        <v>15</v>
      </c>
      <c r="B127" s="108" t="s">
        <v>52</v>
      </c>
      <c r="C127" s="109">
        <f t="shared" si="26"/>
        <v>6044.05</v>
      </c>
      <c r="D127" s="109">
        <v>628</v>
      </c>
      <c r="E127" s="109">
        <v>628</v>
      </c>
      <c r="F127" s="109">
        <v>627.45</v>
      </c>
      <c r="G127" s="109">
        <v>627.46</v>
      </c>
      <c r="H127" s="109">
        <v>627.38</v>
      </c>
      <c r="I127" s="109"/>
      <c r="J127" s="109">
        <v>1452.88</v>
      </c>
      <c r="K127" s="109"/>
      <c r="L127" s="109"/>
      <c r="M127" s="109"/>
      <c r="N127" s="109">
        <v>1452.88</v>
      </c>
      <c r="O127" s="109"/>
    </row>
    <row r="128" spans="1:15" ht="38.25">
      <c r="A128" s="107">
        <v>16</v>
      </c>
      <c r="B128" s="108" t="s">
        <v>53</v>
      </c>
      <c r="C128" s="109">
        <f t="shared" si="26"/>
        <v>5400</v>
      </c>
      <c r="D128" s="109"/>
      <c r="E128" s="109"/>
      <c r="F128" s="109"/>
      <c r="G128" s="109"/>
      <c r="H128" s="109"/>
      <c r="I128" s="109"/>
      <c r="J128" s="109"/>
      <c r="K128" s="109"/>
      <c r="L128" s="109">
        <v>5400</v>
      </c>
      <c r="M128" s="109"/>
      <c r="N128" s="109"/>
      <c r="O128" s="109"/>
    </row>
    <row r="129" spans="1:15" ht="38.25">
      <c r="A129" s="107">
        <v>17</v>
      </c>
      <c r="B129" s="108" t="s">
        <v>54</v>
      </c>
      <c r="C129" s="109">
        <f t="shared" si="26"/>
        <v>500</v>
      </c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>
        <v>500</v>
      </c>
      <c r="O129" s="109"/>
    </row>
    <row r="130" spans="1:15" ht="25.5">
      <c r="A130" s="107">
        <v>18</v>
      </c>
      <c r="B130" s="108" t="s">
        <v>57</v>
      </c>
      <c r="C130" s="109">
        <f t="shared" si="26"/>
        <v>12890</v>
      </c>
      <c r="D130" s="109">
        <f>SUM(D131:D133)</f>
        <v>0</v>
      </c>
      <c r="E130" s="109">
        <f aca="true" t="shared" si="33" ref="E130:O130">SUM(E131:E133)</f>
        <v>0</v>
      </c>
      <c r="F130" s="109">
        <f t="shared" si="33"/>
        <v>0</v>
      </c>
      <c r="G130" s="109">
        <f t="shared" si="33"/>
        <v>0</v>
      </c>
      <c r="H130" s="109">
        <f t="shared" si="33"/>
        <v>3900</v>
      </c>
      <c r="I130" s="109">
        <f t="shared" si="33"/>
        <v>3800</v>
      </c>
      <c r="J130" s="109">
        <f t="shared" si="33"/>
        <v>0</v>
      </c>
      <c r="K130" s="109">
        <f t="shared" si="33"/>
        <v>0</v>
      </c>
      <c r="L130" s="109">
        <f t="shared" si="33"/>
        <v>5190</v>
      </c>
      <c r="M130" s="109">
        <f t="shared" si="33"/>
        <v>0</v>
      </c>
      <c r="N130" s="109">
        <f t="shared" si="33"/>
        <v>0</v>
      </c>
      <c r="O130" s="109">
        <f t="shared" si="33"/>
        <v>0</v>
      </c>
    </row>
    <row r="131" spans="1:15" ht="25.5">
      <c r="A131" s="115"/>
      <c r="B131" s="131" t="s">
        <v>62</v>
      </c>
      <c r="C131" s="15">
        <f t="shared" si="26"/>
        <v>5190</v>
      </c>
      <c r="D131" s="15"/>
      <c r="E131" s="15"/>
      <c r="F131" s="16"/>
      <c r="G131" s="15"/>
      <c r="H131" s="15"/>
      <c r="I131" s="15"/>
      <c r="J131" s="15"/>
      <c r="K131" s="15"/>
      <c r="L131" s="15">
        <f>1000+4190</f>
        <v>5190</v>
      </c>
      <c r="M131" s="15"/>
      <c r="N131" s="15"/>
      <c r="O131" s="15"/>
    </row>
    <row r="132" spans="1:15" ht="25.5">
      <c r="A132" s="115"/>
      <c r="B132" s="131" t="s">
        <v>60</v>
      </c>
      <c r="C132" s="15">
        <f t="shared" si="26"/>
        <v>3800</v>
      </c>
      <c r="D132" s="15"/>
      <c r="E132" s="15"/>
      <c r="F132" s="15"/>
      <c r="G132" s="15"/>
      <c r="H132" s="15"/>
      <c r="I132" s="15">
        <v>3800</v>
      </c>
      <c r="J132" s="15"/>
      <c r="K132" s="15"/>
      <c r="L132" s="15"/>
      <c r="M132" s="15"/>
      <c r="N132" s="15"/>
      <c r="O132" s="15"/>
    </row>
    <row r="133" spans="1:15" ht="25.5">
      <c r="A133" s="115"/>
      <c r="B133" s="131" t="s">
        <v>61</v>
      </c>
      <c r="C133" s="15">
        <f t="shared" si="26"/>
        <v>3900</v>
      </c>
      <c r="D133" s="15"/>
      <c r="E133" s="15"/>
      <c r="F133" s="15"/>
      <c r="G133" s="15"/>
      <c r="H133" s="15">
        <v>3900</v>
      </c>
      <c r="I133" s="15"/>
      <c r="J133" s="15"/>
      <c r="K133" s="15"/>
      <c r="L133" s="15"/>
      <c r="M133" s="15"/>
      <c r="N133" s="15"/>
      <c r="O133" s="15"/>
    </row>
    <row r="134" spans="1:15" ht="25.5">
      <c r="A134" s="107">
        <v>19</v>
      </c>
      <c r="B134" s="108" t="s">
        <v>63</v>
      </c>
      <c r="C134" s="109">
        <f t="shared" si="26"/>
        <v>8000</v>
      </c>
      <c r="D134" s="109"/>
      <c r="E134" s="109"/>
      <c r="F134" s="109"/>
      <c r="G134" s="109"/>
      <c r="H134" s="109"/>
      <c r="I134" s="109"/>
      <c r="J134" s="109"/>
      <c r="K134" s="109">
        <v>7500</v>
      </c>
      <c r="L134" s="109">
        <v>500</v>
      </c>
      <c r="M134" s="109"/>
      <c r="N134" s="109"/>
      <c r="O134" s="109"/>
    </row>
    <row r="135" spans="1:15" ht="38.25">
      <c r="A135" s="107">
        <v>20</v>
      </c>
      <c r="B135" s="108" t="s">
        <v>98</v>
      </c>
      <c r="C135" s="109">
        <f t="shared" si="26"/>
        <v>3930.72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34">
        <v>3930.72</v>
      </c>
    </row>
    <row r="136" spans="1:15" ht="25.5">
      <c r="A136" s="107">
        <v>21</v>
      </c>
      <c r="B136" s="108" t="s">
        <v>64</v>
      </c>
      <c r="C136" s="109">
        <f t="shared" si="26"/>
        <v>4304.5</v>
      </c>
      <c r="D136" s="109"/>
      <c r="E136" s="109"/>
      <c r="F136" s="109"/>
      <c r="G136" s="109"/>
      <c r="H136" s="109">
        <v>2772.5</v>
      </c>
      <c r="I136" s="109">
        <f>1078+454</f>
        <v>1532</v>
      </c>
      <c r="J136" s="109"/>
      <c r="K136" s="109"/>
      <c r="L136" s="109"/>
      <c r="M136" s="109"/>
      <c r="N136" s="109"/>
      <c r="O136" s="109"/>
    </row>
    <row r="137" spans="1:15" ht="25.5">
      <c r="A137" s="107">
        <v>22</v>
      </c>
      <c r="B137" s="108" t="s">
        <v>65</v>
      </c>
      <c r="C137" s="109">
        <f t="shared" si="26"/>
        <v>1320</v>
      </c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>
        <v>1320</v>
      </c>
      <c r="O137" s="109"/>
    </row>
    <row r="138" spans="1:15" ht="38.25">
      <c r="A138" s="107">
        <v>23</v>
      </c>
      <c r="B138" s="108" t="s">
        <v>76</v>
      </c>
      <c r="C138" s="109">
        <f t="shared" si="26"/>
        <v>29500</v>
      </c>
      <c r="D138" s="109"/>
      <c r="E138" s="109"/>
      <c r="F138" s="109"/>
      <c r="G138" s="109"/>
      <c r="H138" s="109"/>
      <c r="I138" s="109"/>
      <c r="J138" s="109">
        <v>29500</v>
      </c>
      <c r="K138" s="109"/>
      <c r="L138" s="109"/>
      <c r="M138" s="109"/>
      <c r="N138" s="109"/>
      <c r="O138" s="109"/>
    </row>
    <row r="139" spans="1:15" ht="25.5">
      <c r="A139" s="107">
        <v>24</v>
      </c>
      <c r="B139" s="108" t="s">
        <v>66</v>
      </c>
      <c r="C139" s="109">
        <f t="shared" si="26"/>
        <v>1628.4</v>
      </c>
      <c r="D139" s="109"/>
      <c r="E139" s="109"/>
      <c r="F139" s="109"/>
      <c r="G139" s="109"/>
      <c r="H139" s="109"/>
      <c r="I139" s="109"/>
      <c r="J139" s="109">
        <v>1628.4</v>
      </c>
      <c r="K139" s="109"/>
      <c r="L139" s="109"/>
      <c r="M139" s="109"/>
      <c r="N139" s="109"/>
      <c r="O139" s="109"/>
    </row>
    <row r="140" spans="1:15" ht="25.5">
      <c r="A140" s="107">
        <v>25</v>
      </c>
      <c r="B140" s="108" t="s">
        <v>117</v>
      </c>
      <c r="C140" s="109">
        <f t="shared" si="26"/>
        <v>6500</v>
      </c>
      <c r="D140" s="109"/>
      <c r="E140" s="109"/>
      <c r="F140" s="109"/>
      <c r="G140" s="109"/>
      <c r="H140" s="109"/>
      <c r="I140" s="109"/>
      <c r="J140" s="109">
        <v>6500</v>
      </c>
      <c r="K140" s="109"/>
      <c r="L140" s="109"/>
      <c r="M140" s="109"/>
      <c r="N140" s="109"/>
      <c r="O140" s="109"/>
    </row>
    <row r="141" spans="1:15" ht="25.5">
      <c r="A141" s="107">
        <v>26</v>
      </c>
      <c r="B141" s="108" t="s">
        <v>67</v>
      </c>
      <c r="C141" s="109">
        <f t="shared" si="26"/>
        <v>6825.66</v>
      </c>
      <c r="D141" s="109"/>
      <c r="E141" s="109"/>
      <c r="F141" s="109"/>
      <c r="G141" s="109"/>
      <c r="H141" s="109"/>
      <c r="I141" s="109"/>
      <c r="J141" s="109"/>
      <c r="K141" s="109"/>
      <c r="L141" s="109">
        <v>6825.66</v>
      </c>
      <c r="M141" s="109"/>
      <c r="N141" s="109"/>
      <c r="O141" s="109"/>
    </row>
    <row r="142" spans="1:15" ht="25.5">
      <c r="A142" s="107">
        <v>27</v>
      </c>
      <c r="B142" s="108" t="s">
        <v>140</v>
      </c>
      <c r="C142" s="109">
        <f t="shared" si="26"/>
        <v>734.3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>
        <v>734.3</v>
      </c>
      <c r="O142" s="109"/>
    </row>
    <row r="143" spans="1:15" ht="25.5">
      <c r="A143" s="107">
        <v>28</v>
      </c>
      <c r="B143" s="108" t="s">
        <v>120</v>
      </c>
      <c r="C143" s="109">
        <f t="shared" si="26"/>
        <v>21250</v>
      </c>
      <c r="D143" s="109"/>
      <c r="E143" s="109"/>
      <c r="F143" s="109">
        <v>21250</v>
      </c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1:15" ht="25.5">
      <c r="A144" s="107">
        <v>29</v>
      </c>
      <c r="B144" s="108" t="s">
        <v>121</v>
      </c>
      <c r="C144" s="109">
        <f t="shared" si="26"/>
        <v>10800</v>
      </c>
      <c r="D144" s="109"/>
      <c r="E144" s="109"/>
      <c r="F144" s="109">
        <v>10800</v>
      </c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1:15" ht="25.5">
      <c r="A145" s="107">
        <v>30</v>
      </c>
      <c r="B145" s="108" t="s">
        <v>71</v>
      </c>
      <c r="C145" s="109">
        <f t="shared" si="26"/>
        <v>8201.03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>
        <v>8201.03</v>
      </c>
    </row>
    <row r="146" spans="1:15" ht="38.25">
      <c r="A146" s="107">
        <v>31</v>
      </c>
      <c r="B146" s="108" t="s">
        <v>86</v>
      </c>
      <c r="C146" s="109">
        <f t="shared" si="26"/>
        <v>2622</v>
      </c>
      <c r="D146" s="109"/>
      <c r="E146" s="109"/>
      <c r="F146" s="109"/>
      <c r="G146" s="109"/>
      <c r="H146" s="134">
        <v>2622</v>
      </c>
      <c r="I146" s="109"/>
      <c r="J146" s="109"/>
      <c r="K146" s="109"/>
      <c r="L146" s="109"/>
      <c r="M146" s="109"/>
      <c r="N146" s="109"/>
      <c r="O146" s="109"/>
    </row>
    <row r="147" spans="1:15" ht="25.5">
      <c r="A147" s="107">
        <v>32</v>
      </c>
      <c r="B147" s="108" t="s">
        <v>68</v>
      </c>
      <c r="C147" s="109">
        <f t="shared" si="26"/>
        <v>10421.24</v>
      </c>
      <c r="D147" s="109"/>
      <c r="E147" s="109"/>
      <c r="F147" s="109"/>
      <c r="G147" s="109"/>
      <c r="H147" s="109"/>
      <c r="I147" s="109"/>
      <c r="J147" s="109">
        <v>10421.24</v>
      </c>
      <c r="K147" s="109"/>
      <c r="L147" s="109"/>
      <c r="M147" s="109"/>
      <c r="N147" s="109"/>
      <c r="O147" s="109"/>
    </row>
    <row r="148" spans="1:15" ht="38.25">
      <c r="A148" s="107">
        <v>33</v>
      </c>
      <c r="B148" s="108" t="s">
        <v>334</v>
      </c>
      <c r="C148" s="109">
        <f t="shared" si="26"/>
        <v>60900</v>
      </c>
      <c r="D148" s="109"/>
      <c r="E148" s="109"/>
      <c r="F148" s="109"/>
      <c r="G148" s="109"/>
      <c r="H148" s="109"/>
      <c r="I148" s="109"/>
      <c r="J148" s="109"/>
      <c r="K148" s="109">
        <v>60900</v>
      </c>
      <c r="L148" s="109"/>
      <c r="M148" s="109"/>
      <c r="N148" s="109"/>
      <c r="O148" s="109"/>
    </row>
    <row r="149" spans="1:15" ht="25.5">
      <c r="A149" s="107">
        <v>34</v>
      </c>
      <c r="B149" s="108" t="s">
        <v>69</v>
      </c>
      <c r="C149" s="109">
        <f aca="true" t="shared" si="34" ref="C149:C183">SUM(D149:O149)</f>
        <v>4389.6</v>
      </c>
      <c r="D149" s="109"/>
      <c r="E149" s="109"/>
      <c r="F149" s="109"/>
      <c r="G149" s="109"/>
      <c r="H149" s="109"/>
      <c r="I149" s="109"/>
      <c r="J149" s="109"/>
      <c r="K149" s="109"/>
      <c r="L149" s="109">
        <v>4389.6</v>
      </c>
      <c r="M149" s="109"/>
      <c r="N149" s="109"/>
      <c r="O149" s="109"/>
    </row>
    <row r="150" spans="1:15" ht="25.5">
      <c r="A150" s="107">
        <v>35</v>
      </c>
      <c r="B150" s="108" t="s">
        <v>70</v>
      </c>
      <c r="C150" s="109">
        <f t="shared" si="34"/>
        <v>6125</v>
      </c>
      <c r="D150" s="109"/>
      <c r="E150" s="109"/>
      <c r="F150" s="109"/>
      <c r="G150" s="109"/>
      <c r="H150" s="109"/>
      <c r="I150" s="109"/>
      <c r="J150" s="109"/>
      <c r="K150" s="109"/>
      <c r="L150" s="109">
        <v>6125</v>
      </c>
      <c r="M150" s="109"/>
      <c r="N150" s="109"/>
      <c r="O150" s="109"/>
    </row>
    <row r="151" spans="1:15" ht="12.75">
      <c r="A151" s="107">
        <v>36</v>
      </c>
      <c r="B151" s="108" t="s">
        <v>87</v>
      </c>
      <c r="C151" s="109">
        <f t="shared" si="34"/>
        <v>10201.86</v>
      </c>
      <c r="D151" s="109">
        <f>SUM(D152:D153)</f>
        <v>0</v>
      </c>
      <c r="E151" s="109">
        <f aca="true" t="shared" si="35" ref="E151:O151">SUM(E152:E153)</f>
        <v>0</v>
      </c>
      <c r="F151" s="109">
        <f t="shared" si="35"/>
        <v>0</v>
      </c>
      <c r="G151" s="109">
        <f t="shared" si="35"/>
        <v>0</v>
      </c>
      <c r="H151" s="109">
        <f t="shared" si="35"/>
        <v>10201.86</v>
      </c>
      <c r="I151" s="109">
        <f t="shared" si="35"/>
        <v>0</v>
      </c>
      <c r="J151" s="109">
        <f t="shared" si="35"/>
        <v>0</v>
      </c>
      <c r="K151" s="109">
        <f t="shared" si="35"/>
        <v>0</v>
      </c>
      <c r="L151" s="109">
        <f t="shared" si="35"/>
        <v>0</v>
      </c>
      <c r="M151" s="109">
        <f t="shared" si="35"/>
        <v>0</v>
      </c>
      <c r="N151" s="109">
        <f t="shared" si="35"/>
        <v>0</v>
      </c>
      <c r="O151" s="109">
        <f t="shared" si="35"/>
        <v>0</v>
      </c>
    </row>
    <row r="152" spans="1:15" ht="25.5">
      <c r="A152" s="107"/>
      <c r="B152" s="131" t="s">
        <v>88</v>
      </c>
      <c r="C152" s="15">
        <f t="shared" si="34"/>
        <v>6508.26</v>
      </c>
      <c r="D152" s="109"/>
      <c r="E152" s="109"/>
      <c r="F152" s="109"/>
      <c r="G152" s="109"/>
      <c r="H152" s="13">
        <v>6508.26</v>
      </c>
      <c r="I152" s="109"/>
      <c r="J152" s="109"/>
      <c r="K152" s="109"/>
      <c r="L152" s="109"/>
      <c r="M152" s="109"/>
      <c r="N152" s="109"/>
      <c r="O152" s="109"/>
    </row>
    <row r="153" spans="1:15" ht="25.5">
      <c r="A153" s="107"/>
      <c r="B153" s="131" t="s">
        <v>89</v>
      </c>
      <c r="C153" s="15">
        <f t="shared" si="34"/>
        <v>3693.6</v>
      </c>
      <c r="D153" s="109"/>
      <c r="E153" s="109"/>
      <c r="F153" s="109"/>
      <c r="G153" s="109"/>
      <c r="H153" s="13">
        <v>3693.6</v>
      </c>
      <c r="I153" s="109"/>
      <c r="J153" s="109"/>
      <c r="K153" s="109"/>
      <c r="L153" s="109"/>
      <c r="M153" s="109"/>
      <c r="N153" s="109"/>
      <c r="O153" s="109"/>
    </row>
    <row r="154" spans="1:15" ht="12.75">
      <c r="A154" s="107">
        <v>37</v>
      </c>
      <c r="B154" s="108" t="s">
        <v>90</v>
      </c>
      <c r="C154" s="109">
        <f t="shared" si="34"/>
        <v>10482.3</v>
      </c>
      <c r="D154" s="109">
        <f>SUM(D155:D157)</f>
        <v>0</v>
      </c>
      <c r="E154" s="109">
        <f aca="true" t="shared" si="36" ref="E154:O154">SUM(E155:E157)</f>
        <v>0</v>
      </c>
      <c r="F154" s="109">
        <f t="shared" si="36"/>
        <v>0</v>
      </c>
      <c r="G154" s="109">
        <f t="shared" si="36"/>
        <v>0</v>
      </c>
      <c r="H154" s="109">
        <f t="shared" si="36"/>
        <v>3930.72</v>
      </c>
      <c r="I154" s="109">
        <f t="shared" si="36"/>
        <v>6551.58</v>
      </c>
      <c r="J154" s="109">
        <f t="shared" si="36"/>
        <v>0</v>
      </c>
      <c r="K154" s="109">
        <f t="shared" si="36"/>
        <v>0</v>
      </c>
      <c r="L154" s="109">
        <f t="shared" si="36"/>
        <v>0</v>
      </c>
      <c r="M154" s="109">
        <f t="shared" si="36"/>
        <v>0</v>
      </c>
      <c r="N154" s="109">
        <f t="shared" si="36"/>
        <v>0</v>
      </c>
      <c r="O154" s="109">
        <f t="shared" si="36"/>
        <v>0</v>
      </c>
    </row>
    <row r="155" spans="1:15" ht="25.5">
      <c r="A155" s="107"/>
      <c r="B155" s="131" t="s">
        <v>91</v>
      </c>
      <c r="C155" s="15">
        <f t="shared" si="34"/>
        <v>3930.72</v>
      </c>
      <c r="D155" s="15"/>
      <c r="E155" s="15"/>
      <c r="F155" s="15"/>
      <c r="G155" s="15"/>
      <c r="H155" s="13">
        <v>3930.72</v>
      </c>
      <c r="I155" s="15"/>
      <c r="J155" s="15"/>
      <c r="K155" s="15"/>
      <c r="L155" s="15"/>
      <c r="M155" s="15"/>
      <c r="N155" s="15"/>
      <c r="O155" s="15"/>
    </row>
    <row r="156" spans="1:15" ht="38.25">
      <c r="A156" s="107"/>
      <c r="B156" s="131" t="s">
        <v>92</v>
      </c>
      <c r="C156" s="15">
        <f t="shared" si="34"/>
        <v>3930.72</v>
      </c>
      <c r="D156" s="15"/>
      <c r="E156" s="15"/>
      <c r="F156" s="15"/>
      <c r="G156" s="15"/>
      <c r="H156" s="15"/>
      <c r="I156" s="13">
        <v>3930.72</v>
      </c>
      <c r="J156" s="15"/>
      <c r="K156" s="15"/>
      <c r="L156" s="15"/>
      <c r="M156" s="15"/>
      <c r="N156" s="15"/>
      <c r="O156" s="15"/>
    </row>
    <row r="157" spans="1:15" ht="25.5">
      <c r="A157" s="107"/>
      <c r="B157" s="131" t="s">
        <v>93</v>
      </c>
      <c r="C157" s="15">
        <f t="shared" si="34"/>
        <v>2620.86</v>
      </c>
      <c r="D157" s="15"/>
      <c r="E157" s="15"/>
      <c r="F157" s="15"/>
      <c r="G157" s="15"/>
      <c r="H157" s="15"/>
      <c r="I157" s="13">
        <v>2620.86</v>
      </c>
      <c r="J157" s="15"/>
      <c r="K157" s="15"/>
      <c r="L157" s="15"/>
      <c r="M157" s="15"/>
      <c r="N157" s="15"/>
      <c r="O157" s="15"/>
    </row>
    <row r="158" spans="1:15" ht="25.5">
      <c r="A158" s="107">
        <v>38</v>
      </c>
      <c r="B158" s="108" t="s">
        <v>94</v>
      </c>
      <c r="C158" s="109">
        <f t="shared" si="34"/>
        <v>2620.86</v>
      </c>
      <c r="D158" s="109"/>
      <c r="E158" s="109"/>
      <c r="F158" s="109"/>
      <c r="G158" s="109"/>
      <c r="H158" s="109"/>
      <c r="I158" s="109"/>
      <c r="J158" s="109"/>
      <c r="K158" s="134">
        <v>2620.86</v>
      </c>
      <c r="L158" s="109"/>
      <c r="M158" s="109"/>
      <c r="N158" s="109"/>
      <c r="O158" s="109"/>
    </row>
    <row r="159" spans="1:15" ht="12.75">
      <c r="A159" s="107">
        <v>39</v>
      </c>
      <c r="B159" s="108" t="s">
        <v>95</v>
      </c>
      <c r="C159" s="109">
        <f t="shared" si="34"/>
        <v>18344.879999999997</v>
      </c>
      <c r="D159" s="109">
        <f>SUM(D160:D161)</f>
        <v>0</v>
      </c>
      <c r="E159" s="109">
        <f aca="true" t="shared" si="37" ref="E159:O159">SUM(E160:E161)</f>
        <v>0</v>
      </c>
      <c r="F159" s="109">
        <f t="shared" si="37"/>
        <v>0</v>
      </c>
      <c r="G159" s="109">
        <f t="shared" si="37"/>
        <v>0</v>
      </c>
      <c r="H159" s="109">
        <f t="shared" si="37"/>
        <v>0</v>
      </c>
      <c r="I159" s="109">
        <f t="shared" si="37"/>
        <v>0</v>
      </c>
      <c r="J159" s="109">
        <f t="shared" si="37"/>
        <v>0</v>
      </c>
      <c r="K159" s="109">
        <f t="shared" si="37"/>
        <v>0</v>
      </c>
      <c r="L159" s="109">
        <f t="shared" si="37"/>
        <v>10482.3</v>
      </c>
      <c r="M159" s="109">
        <f t="shared" si="37"/>
        <v>0</v>
      </c>
      <c r="N159" s="109">
        <f t="shared" si="37"/>
        <v>7862.58</v>
      </c>
      <c r="O159" s="109">
        <f t="shared" si="37"/>
        <v>0</v>
      </c>
    </row>
    <row r="160" spans="1:15" ht="25.5">
      <c r="A160" s="107"/>
      <c r="B160" s="131" t="s">
        <v>96</v>
      </c>
      <c r="C160" s="15">
        <f t="shared" si="34"/>
        <v>10482.3</v>
      </c>
      <c r="D160" s="15"/>
      <c r="E160" s="15"/>
      <c r="F160" s="15"/>
      <c r="G160" s="15"/>
      <c r="H160" s="15"/>
      <c r="I160" s="15"/>
      <c r="J160" s="15"/>
      <c r="K160" s="15"/>
      <c r="L160" s="13">
        <v>10482.3</v>
      </c>
      <c r="M160" s="15"/>
      <c r="N160" s="15"/>
      <c r="O160" s="15"/>
    </row>
    <row r="161" spans="1:15" ht="27" customHeight="1">
      <c r="A161" s="107"/>
      <c r="B161" s="131" t="s">
        <v>97</v>
      </c>
      <c r="C161" s="15">
        <f t="shared" si="34"/>
        <v>7862.58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3">
        <v>7862.58</v>
      </c>
      <c r="O161" s="15"/>
    </row>
    <row r="162" spans="1:15" ht="13.5" customHeight="1">
      <c r="A162" s="107">
        <v>40</v>
      </c>
      <c r="B162" s="108" t="s">
        <v>84</v>
      </c>
      <c r="C162" s="109">
        <f t="shared" si="34"/>
        <v>100438.45000000001</v>
      </c>
      <c r="D162" s="109">
        <f>SUM(D163:D177)</f>
        <v>7488.25</v>
      </c>
      <c r="E162" s="109">
        <f aca="true" t="shared" si="38" ref="E162:O162">SUM(E163:E177)</f>
        <v>0</v>
      </c>
      <c r="F162" s="109">
        <f t="shared" si="38"/>
        <v>355.3</v>
      </c>
      <c r="G162" s="109">
        <f t="shared" si="38"/>
        <v>1155.2</v>
      </c>
      <c r="H162" s="109">
        <f t="shared" si="38"/>
        <v>20561.159999999996</v>
      </c>
      <c r="I162" s="109">
        <f t="shared" si="38"/>
        <v>5345.4</v>
      </c>
      <c r="J162" s="109">
        <f t="shared" si="38"/>
        <v>8566.29</v>
      </c>
      <c r="K162" s="109">
        <f t="shared" si="38"/>
        <v>3221.43</v>
      </c>
      <c r="L162" s="109">
        <f t="shared" si="38"/>
        <v>4533.01</v>
      </c>
      <c r="M162" s="109">
        <f t="shared" si="38"/>
        <v>1665.23</v>
      </c>
      <c r="N162" s="109">
        <f t="shared" si="38"/>
        <v>11637</v>
      </c>
      <c r="O162" s="109">
        <f t="shared" si="38"/>
        <v>35910.18</v>
      </c>
    </row>
    <row r="163" spans="1:17" ht="12.75">
      <c r="A163" s="107"/>
      <c r="B163" s="131" t="s">
        <v>100</v>
      </c>
      <c r="C163" s="15">
        <f t="shared" si="34"/>
        <v>5460.73</v>
      </c>
      <c r="D163" s="15"/>
      <c r="E163" s="15"/>
      <c r="F163" s="15"/>
      <c r="G163" s="15"/>
      <c r="H163" s="15"/>
      <c r="I163" s="15"/>
      <c r="J163" s="15">
        <f>575+270+1027.65+1027.65</f>
        <v>2900.3</v>
      </c>
      <c r="K163" s="15">
        <f>115+241.5+1210.8</f>
        <v>1567.3</v>
      </c>
      <c r="L163" s="15">
        <v>907.9</v>
      </c>
      <c r="M163" s="15">
        <f>33.15+52.08</f>
        <v>85.22999999999999</v>
      </c>
      <c r="N163" s="15"/>
      <c r="O163" s="15"/>
      <c r="Q163" s="14"/>
    </row>
    <row r="164" spans="1:17" ht="12.75">
      <c r="A164" s="107"/>
      <c r="B164" s="131" t="s">
        <v>101</v>
      </c>
      <c r="C164" s="15">
        <f t="shared" si="34"/>
        <v>4403.64</v>
      </c>
      <c r="D164" s="15"/>
      <c r="E164" s="15"/>
      <c r="F164" s="15">
        <v>355.3</v>
      </c>
      <c r="G164" s="15">
        <v>827.2</v>
      </c>
      <c r="H164" s="15">
        <v>981</v>
      </c>
      <c r="I164" s="15"/>
      <c r="J164" s="15">
        <v>1390.4</v>
      </c>
      <c r="K164" s="15">
        <v>112.13</v>
      </c>
      <c r="L164" s="15">
        <v>197.51</v>
      </c>
      <c r="M164" s="15"/>
      <c r="N164" s="15"/>
      <c r="O164" s="15">
        <v>540.1</v>
      </c>
      <c r="Q164" s="14"/>
    </row>
    <row r="165" spans="1:17" ht="12.75">
      <c r="A165" s="107"/>
      <c r="B165" s="131" t="s">
        <v>102</v>
      </c>
      <c r="C165" s="15">
        <f t="shared" si="34"/>
        <v>700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>
        <v>700</v>
      </c>
      <c r="O165" s="15"/>
      <c r="Q165" s="14"/>
    </row>
    <row r="166" spans="1:17" ht="12.75">
      <c r="A166" s="107"/>
      <c r="B166" s="131" t="s">
        <v>108</v>
      </c>
      <c r="C166" s="15">
        <f t="shared" si="34"/>
        <v>380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>
        <v>380</v>
      </c>
      <c r="N166" s="15"/>
      <c r="O166" s="15"/>
      <c r="Q166" s="14"/>
    </row>
    <row r="167" spans="1:17" ht="12.75">
      <c r="A167" s="107"/>
      <c r="B167" s="131" t="s">
        <v>142</v>
      </c>
      <c r="C167" s="15">
        <f t="shared" si="34"/>
        <v>7718.2</v>
      </c>
      <c r="D167" s="15"/>
      <c r="E167" s="15"/>
      <c r="F167" s="15"/>
      <c r="G167" s="15"/>
      <c r="H167" s="15"/>
      <c r="I167" s="15">
        <v>5218.2</v>
      </c>
      <c r="J167" s="15"/>
      <c r="K167" s="15"/>
      <c r="L167" s="15">
        <v>2500</v>
      </c>
      <c r="M167" s="15"/>
      <c r="N167" s="15"/>
      <c r="O167" s="15"/>
      <c r="Q167" s="14"/>
    </row>
    <row r="168" spans="1:17" ht="12.75">
      <c r="A168" s="107"/>
      <c r="B168" s="131" t="s">
        <v>103</v>
      </c>
      <c r="C168" s="15">
        <f t="shared" si="34"/>
        <v>523</v>
      </c>
      <c r="D168" s="15"/>
      <c r="E168" s="15"/>
      <c r="F168" s="15"/>
      <c r="G168" s="15">
        <v>328</v>
      </c>
      <c r="H168" s="15">
        <v>195</v>
      </c>
      <c r="I168" s="15"/>
      <c r="J168" s="15"/>
      <c r="K168" s="15"/>
      <c r="L168" s="15"/>
      <c r="M168" s="15"/>
      <c r="N168" s="15"/>
      <c r="O168" s="15"/>
      <c r="Q168" s="14"/>
    </row>
    <row r="169" spans="1:17" ht="12.75">
      <c r="A169" s="107"/>
      <c r="B169" s="131" t="s">
        <v>104</v>
      </c>
      <c r="C169" s="15">
        <f t="shared" si="34"/>
        <v>18741.88</v>
      </c>
      <c r="D169" s="15"/>
      <c r="E169" s="15"/>
      <c r="F169" s="15"/>
      <c r="G169" s="15"/>
      <c r="H169" s="15">
        <v>10874</v>
      </c>
      <c r="I169" s="15"/>
      <c r="J169" s="15">
        <f>883.8+290</f>
        <v>1173.8</v>
      </c>
      <c r="K169" s="15">
        <f>1252+290</f>
        <v>1542</v>
      </c>
      <c r="L169" s="15">
        <v>200</v>
      </c>
      <c r="M169" s="15"/>
      <c r="N169" s="15">
        <f>3000+1167</f>
        <v>4167</v>
      </c>
      <c r="O169" s="15">
        <v>785.08</v>
      </c>
      <c r="Q169" s="14"/>
    </row>
    <row r="170" spans="1:17" ht="25.5">
      <c r="A170" s="107"/>
      <c r="B170" s="131" t="s">
        <v>105</v>
      </c>
      <c r="C170" s="15">
        <f t="shared" si="34"/>
        <v>6392.49</v>
      </c>
      <c r="D170" s="15"/>
      <c r="E170" s="15"/>
      <c r="F170" s="15"/>
      <c r="G170" s="15"/>
      <c r="H170" s="15">
        <v>5932.49</v>
      </c>
      <c r="I170" s="15"/>
      <c r="J170" s="15"/>
      <c r="K170" s="15"/>
      <c r="L170" s="15">
        <f>75+385</f>
        <v>460</v>
      </c>
      <c r="M170" s="15"/>
      <c r="N170" s="15"/>
      <c r="O170" s="15"/>
      <c r="Q170" s="14"/>
    </row>
    <row r="171" spans="1:17" ht="12.75">
      <c r="A171" s="107"/>
      <c r="B171" s="131" t="s">
        <v>106</v>
      </c>
      <c r="C171" s="15">
        <f t="shared" si="34"/>
        <v>2387.67</v>
      </c>
      <c r="D171" s="15"/>
      <c r="E171" s="15"/>
      <c r="F171" s="15"/>
      <c r="G171" s="15"/>
      <c r="H171" s="15">
        <v>2387.67</v>
      </c>
      <c r="I171" s="15"/>
      <c r="J171" s="15"/>
      <c r="K171" s="15"/>
      <c r="L171" s="15"/>
      <c r="M171" s="15"/>
      <c r="N171" s="15"/>
      <c r="O171" s="15"/>
      <c r="Q171" s="14"/>
    </row>
    <row r="172" spans="1:17" ht="12.75">
      <c r="A172" s="107"/>
      <c r="B172" s="131" t="s">
        <v>107</v>
      </c>
      <c r="C172" s="15">
        <f t="shared" si="34"/>
        <v>2169.39</v>
      </c>
      <c r="D172" s="15"/>
      <c r="E172" s="15"/>
      <c r="F172" s="15"/>
      <c r="G172" s="15"/>
      <c r="H172" s="15"/>
      <c r="I172" s="15"/>
      <c r="J172" s="15">
        <f>780.55+1067.7+53.54</f>
        <v>1901.79</v>
      </c>
      <c r="K172" s="15"/>
      <c r="L172" s="15">
        <v>267.6</v>
      </c>
      <c r="M172" s="15"/>
      <c r="N172" s="15"/>
      <c r="O172" s="15"/>
      <c r="Q172" s="14"/>
    </row>
    <row r="173" spans="1:17" ht="12.75">
      <c r="A173" s="107"/>
      <c r="B173" s="131" t="s">
        <v>110</v>
      </c>
      <c r="C173" s="15">
        <f t="shared" si="34"/>
        <v>6770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>
        <v>6770</v>
      </c>
      <c r="O173" s="15"/>
      <c r="Q173" s="14"/>
    </row>
    <row r="174" spans="1:17" ht="12.75">
      <c r="A174" s="107"/>
      <c r="B174" s="131" t="s">
        <v>113</v>
      </c>
      <c r="C174" s="15">
        <f t="shared" si="34"/>
        <v>34585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>
        <v>34585</v>
      </c>
      <c r="Q174" s="14"/>
    </row>
    <row r="175" spans="1:17" ht="12.75">
      <c r="A175" s="107"/>
      <c r="B175" s="131" t="s">
        <v>111</v>
      </c>
      <c r="C175" s="15">
        <f t="shared" si="34"/>
        <v>318.2</v>
      </c>
      <c r="D175" s="15"/>
      <c r="E175" s="15"/>
      <c r="F175" s="15"/>
      <c r="G175" s="15"/>
      <c r="H175" s="15">
        <v>191</v>
      </c>
      <c r="I175" s="15">
        <v>127.2</v>
      </c>
      <c r="J175" s="15"/>
      <c r="K175" s="15"/>
      <c r="L175" s="15"/>
      <c r="M175" s="15"/>
      <c r="N175" s="15"/>
      <c r="O175" s="15"/>
      <c r="Q175" s="14"/>
    </row>
    <row r="176" spans="1:17" ht="12.75">
      <c r="A176" s="107"/>
      <c r="B176" s="131" t="s">
        <v>118</v>
      </c>
      <c r="C176" s="15">
        <f t="shared" si="34"/>
        <v>2400</v>
      </c>
      <c r="D176" s="15"/>
      <c r="E176" s="15"/>
      <c r="F176" s="15"/>
      <c r="G176" s="15"/>
      <c r="H176" s="15"/>
      <c r="I176" s="15"/>
      <c r="J176" s="15">
        <v>1200</v>
      </c>
      <c r="K176" s="15"/>
      <c r="L176" s="15"/>
      <c r="M176" s="15">
        <v>1200</v>
      </c>
      <c r="N176" s="15"/>
      <c r="O176" s="15"/>
      <c r="Q176" s="14"/>
    </row>
    <row r="177" spans="1:17" ht="12.75">
      <c r="A177" s="107"/>
      <c r="B177" s="131" t="s">
        <v>141</v>
      </c>
      <c r="C177" s="15">
        <f t="shared" si="34"/>
        <v>7488.25</v>
      </c>
      <c r="D177" s="15">
        <v>7488.25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Q177" s="14"/>
    </row>
    <row r="178" spans="1:15" ht="12.75">
      <c r="A178" s="107">
        <v>41</v>
      </c>
      <c r="B178" s="108" t="s">
        <v>125</v>
      </c>
      <c r="C178" s="109">
        <f t="shared" si="34"/>
        <v>8239</v>
      </c>
      <c r="D178" s="109"/>
      <c r="E178" s="109"/>
      <c r="F178" s="109"/>
      <c r="G178" s="109"/>
      <c r="H178" s="109">
        <v>2001</v>
      </c>
      <c r="I178" s="109"/>
      <c r="J178" s="109"/>
      <c r="K178" s="109"/>
      <c r="L178" s="109"/>
      <c r="M178" s="109">
        <v>1238</v>
      </c>
      <c r="N178" s="109"/>
      <c r="O178" s="109">
        <v>5000</v>
      </c>
    </row>
    <row r="179" spans="1:15" ht="12.75">
      <c r="A179" s="107">
        <v>42</v>
      </c>
      <c r="B179" s="108" t="s">
        <v>112</v>
      </c>
      <c r="C179" s="109">
        <f>SUM(D179:O179)</f>
        <v>16600</v>
      </c>
      <c r="D179" s="109"/>
      <c r="E179" s="109"/>
      <c r="F179" s="109"/>
      <c r="G179" s="109">
        <v>4000</v>
      </c>
      <c r="H179" s="109"/>
      <c r="I179" s="109"/>
      <c r="J179" s="109">
        <v>4100</v>
      </c>
      <c r="K179" s="109"/>
      <c r="L179" s="109"/>
      <c r="M179" s="109">
        <v>8500</v>
      </c>
      <c r="N179" s="109"/>
      <c r="O179" s="109"/>
    </row>
    <row r="180" spans="1:15" ht="12.75">
      <c r="A180" s="107">
        <v>43</v>
      </c>
      <c r="B180" s="108" t="s">
        <v>72</v>
      </c>
      <c r="C180" s="109">
        <f t="shared" si="34"/>
        <v>277958.01</v>
      </c>
      <c r="D180" s="109">
        <v>33505.88</v>
      </c>
      <c r="E180" s="109">
        <v>33505.82</v>
      </c>
      <c r="F180" s="109">
        <v>33505.88</v>
      </c>
      <c r="G180" s="109">
        <v>33505.88</v>
      </c>
      <c r="H180" s="109">
        <v>33505.88</v>
      </c>
      <c r="I180" s="109">
        <v>33505.88</v>
      </c>
      <c r="J180" s="109">
        <v>35036</v>
      </c>
      <c r="K180" s="109">
        <v>11098.79</v>
      </c>
      <c r="L180" s="109">
        <v>9454.58</v>
      </c>
      <c r="M180" s="109">
        <v>7111.14</v>
      </c>
      <c r="N180" s="109">
        <v>7111.14</v>
      </c>
      <c r="O180" s="109">
        <v>7111.14</v>
      </c>
    </row>
    <row r="181" spans="1:16" ht="12.75">
      <c r="A181" s="107">
        <v>44</v>
      </c>
      <c r="B181" s="108" t="s">
        <v>73</v>
      </c>
      <c r="C181" s="109">
        <f t="shared" si="34"/>
        <v>614697.52</v>
      </c>
      <c r="D181" s="109">
        <v>57486.04</v>
      </c>
      <c r="E181" s="109">
        <v>50937.65</v>
      </c>
      <c r="F181" s="109">
        <v>53425.1</v>
      </c>
      <c r="G181" s="109">
        <v>56186.88</v>
      </c>
      <c r="H181" s="109">
        <v>56522.69</v>
      </c>
      <c r="I181" s="109">
        <v>48102.71</v>
      </c>
      <c r="J181" s="109">
        <f>33726.76+8943.81</f>
        <v>42670.57</v>
      </c>
      <c r="K181" s="109">
        <v>42414.52</v>
      </c>
      <c r="L181" s="109">
        <v>52089.92</v>
      </c>
      <c r="M181" s="109">
        <v>54504.2</v>
      </c>
      <c r="N181" s="109">
        <v>52528.37</v>
      </c>
      <c r="O181" s="109">
        <v>47828.87</v>
      </c>
      <c r="P181" s="135">
        <f>C181/SUM($C$181:$C$183)</f>
        <v>0.14576500018073085</v>
      </c>
    </row>
    <row r="182" spans="1:16" ht="12.75">
      <c r="A182" s="107">
        <v>45</v>
      </c>
      <c r="B182" s="108" t="s">
        <v>74</v>
      </c>
      <c r="C182" s="109">
        <f t="shared" si="34"/>
        <v>1497231.3599999999</v>
      </c>
      <c r="D182" s="109">
        <f>248174.77+27330.94</f>
        <v>275505.70999999996</v>
      </c>
      <c r="E182" s="109">
        <f>211152.56+26225.69</f>
        <v>237378.25</v>
      </c>
      <c r="F182" s="109">
        <f>158767.77+19462</f>
        <v>178229.77</v>
      </c>
      <c r="G182" s="109">
        <f>88636.72+18032.39</f>
        <v>106669.11</v>
      </c>
      <c r="H182" s="109">
        <f>43551.32+8343.43</f>
        <v>51894.75</v>
      </c>
      <c r="I182" s="109">
        <f>23409.36+2006.27</f>
        <v>25415.63</v>
      </c>
      <c r="J182" s="109">
        <f>5362+1261.43</f>
        <v>6623.43</v>
      </c>
      <c r="K182" s="109">
        <f>49526.11+4967.63</f>
        <v>54493.74</v>
      </c>
      <c r="L182" s="109">
        <f>23140.18+2673.03</f>
        <v>25813.21</v>
      </c>
      <c r="M182" s="109">
        <f>72935.43+13815.64</f>
        <v>86751.06999999999</v>
      </c>
      <c r="N182" s="109">
        <f>169131.54+21684.52</f>
        <v>190816.06</v>
      </c>
      <c r="O182" s="109">
        <v>257640.63</v>
      </c>
      <c r="P182" s="135">
        <f>C182/SUM($C$181:$C$183)</f>
        <v>0.35504280131306837</v>
      </c>
    </row>
    <row r="183" spans="1:16" ht="12.75">
      <c r="A183" s="107">
        <v>46</v>
      </c>
      <c r="B183" s="108" t="s">
        <v>75</v>
      </c>
      <c r="C183" s="109">
        <f t="shared" si="34"/>
        <v>2105115.81</v>
      </c>
      <c r="D183" s="109">
        <v>186108.36</v>
      </c>
      <c r="E183" s="109">
        <v>202357.82</v>
      </c>
      <c r="F183" s="109">
        <v>170458.82</v>
      </c>
      <c r="G183" s="109">
        <v>169874.01</v>
      </c>
      <c r="H183" s="109">
        <v>200311.66</v>
      </c>
      <c r="I183" s="109">
        <v>150469.33</v>
      </c>
      <c r="J183" s="109">
        <v>0</v>
      </c>
      <c r="K183" s="109">
        <v>336464.43</v>
      </c>
      <c r="L183" s="109">
        <v>186575.41</v>
      </c>
      <c r="M183" s="109">
        <v>153034.23</v>
      </c>
      <c r="N183" s="109">
        <v>203698.81</v>
      </c>
      <c r="O183" s="109">
        <v>145762.93</v>
      </c>
      <c r="P183" s="135">
        <f>C183/SUM($C$181:$C$183)</f>
        <v>0.4991921985062009</v>
      </c>
    </row>
    <row r="184" spans="2:16" ht="12.75">
      <c r="B184" s="136"/>
      <c r="C184" s="100">
        <f>SUMIF($A$87:$A$183,"&lt;&gt;",C87:C183)</f>
        <v>7138197.909999998</v>
      </c>
      <c r="D184" s="100">
        <f aca="true" t="shared" si="39" ref="D184:O184">SUMIF($A$87:$A$183,"&lt;&gt;",D87:D183)</f>
        <v>707483.75</v>
      </c>
      <c r="E184" s="100">
        <f t="shared" si="39"/>
        <v>691469.05</v>
      </c>
      <c r="F184" s="100">
        <f t="shared" si="39"/>
        <v>692297.8300000001</v>
      </c>
      <c r="G184" s="100">
        <f t="shared" si="39"/>
        <v>549123.65</v>
      </c>
      <c r="H184" s="100">
        <f t="shared" si="39"/>
        <v>569182.0900000001</v>
      </c>
      <c r="I184" s="100">
        <f t="shared" si="39"/>
        <v>466265.47</v>
      </c>
      <c r="J184" s="100">
        <f t="shared" si="39"/>
        <v>330678.25</v>
      </c>
      <c r="K184" s="100">
        <f t="shared" si="39"/>
        <v>706681.63</v>
      </c>
      <c r="L184" s="100">
        <f t="shared" si="39"/>
        <v>544481.3600000001</v>
      </c>
      <c r="M184" s="100">
        <f t="shared" si="39"/>
        <v>505040.31000000006</v>
      </c>
      <c r="N184" s="100">
        <f t="shared" si="39"/>
        <v>665996.5800000001</v>
      </c>
      <c r="O184" s="100">
        <f t="shared" si="39"/>
        <v>709497.94</v>
      </c>
      <c r="P184" s="135">
        <f>SUM(P181:P183)</f>
        <v>1</v>
      </c>
    </row>
    <row r="185" spans="2:15" ht="12.75">
      <c r="B185" s="136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</row>
    <row r="186" spans="2:15" ht="12.75">
      <c r="B186" s="136"/>
      <c r="C186" s="14">
        <f>SUM(C189,C237,C248,C253,C256,C260,C261)</f>
        <v>500654.46999999986</v>
      </c>
      <c r="D186" s="100">
        <f>C84-C186</f>
        <v>0</v>
      </c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</row>
    <row r="187" spans="8:13" ht="12.75">
      <c r="H187" s="14"/>
      <c r="I187" s="14"/>
      <c r="J187" s="14"/>
      <c r="K187" s="14"/>
      <c r="L187" s="14"/>
      <c r="M187" s="14"/>
    </row>
    <row r="188" spans="1:15" ht="25.5">
      <c r="A188" s="112" t="s">
        <v>0</v>
      </c>
      <c r="B188" s="130" t="s">
        <v>124</v>
      </c>
      <c r="C188" s="107" t="s">
        <v>1</v>
      </c>
      <c r="D188" s="107" t="s">
        <v>2</v>
      </c>
      <c r="E188" s="107" t="s">
        <v>3</v>
      </c>
      <c r="F188" s="107" t="s">
        <v>4</v>
      </c>
      <c r="G188" s="107" t="s">
        <v>5</v>
      </c>
      <c r="H188" s="107" t="s">
        <v>6</v>
      </c>
      <c r="I188" s="107" t="s">
        <v>7</v>
      </c>
      <c r="J188" s="107" t="s">
        <v>8</v>
      </c>
      <c r="K188" s="107" t="s">
        <v>9</v>
      </c>
      <c r="L188" s="107" t="s">
        <v>10</v>
      </c>
      <c r="M188" s="107" t="s">
        <v>11</v>
      </c>
      <c r="N188" s="107" t="s">
        <v>12</v>
      </c>
      <c r="O188" s="107" t="s">
        <v>13</v>
      </c>
    </row>
    <row r="189" spans="1:15" s="104" customFormat="1" ht="25.5">
      <c r="A189" s="107">
        <v>1</v>
      </c>
      <c r="B189" s="108" t="s">
        <v>122</v>
      </c>
      <c r="C189" s="109">
        <f>SUM(D189:O189)</f>
        <v>452451.8499999999</v>
      </c>
      <c r="D189" s="109">
        <f>SUM(D190:D194)</f>
        <v>0</v>
      </c>
      <c r="E189" s="109">
        <f>SUM(E190:E194)</f>
        <v>0</v>
      </c>
      <c r="F189" s="109">
        <f>SUM(F190:F194)</f>
        <v>0</v>
      </c>
      <c r="G189" s="109">
        <f aca="true" t="shared" si="40" ref="G189:O189">SUM(G190:G194)</f>
        <v>29819.5</v>
      </c>
      <c r="H189" s="109">
        <f t="shared" si="40"/>
        <v>64145.9</v>
      </c>
      <c r="I189" s="109">
        <f t="shared" si="40"/>
        <v>27244.5</v>
      </c>
      <c r="J189" s="109">
        <f t="shared" si="40"/>
        <v>72964.58</v>
      </c>
      <c r="K189" s="109">
        <f t="shared" si="40"/>
        <v>43234.549999999996</v>
      </c>
      <c r="L189" s="109">
        <f t="shared" si="40"/>
        <v>51258.869999999995</v>
      </c>
      <c r="M189" s="109">
        <f t="shared" si="40"/>
        <v>53539.37</v>
      </c>
      <c r="N189" s="109">
        <f t="shared" si="40"/>
        <v>54543.79</v>
      </c>
      <c r="O189" s="109">
        <f t="shared" si="40"/>
        <v>55700.78999999999</v>
      </c>
    </row>
    <row r="190" spans="1:15" ht="12.75">
      <c r="A190" s="115"/>
      <c r="B190" s="131" t="s">
        <v>27</v>
      </c>
      <c r="C190" s="15">
        <f>SUM(D190:O190)</f>
        <v>108741.24</v>
      </c>
      <c r="D190" s="15">
        <v>0</v>
      </c>
      <c r="E190" s="15">
        <v>0</v>
      </c>
      <c r="F190" s="15">
        <v>0</v>
      </c>
      <c r="G190" s="13">
        <v>0</v>
      </c>
      <c r="H190" s="13">
        <f>12082.36*2</f>
        <v>24164.72</v>
      </c>
      <c r="I190" s="13">
        <v>0</v>
      </c>
      <c r="J190" s="13">
        <f>12082.36*2</f>
        <v>24164.72</v>
      </c>
      <c r="K190" s="13">
        <f>12082.36-4205-634.8</f>
        <v>7242.56</v>
      </c>
      <c r="L190" s="13">
        <f>12082.36+634.8</f>
        <v>12717.16</v>
      </c>
      <c r="M190" s="13">
        <v>12082.36</v>
      </c>
      <c r="N190" s="13">
        <f>12082.36+4205</f>
        <v>16287.36</v>
      </c>
      <c r="O190" s="13">
        <v>12082.36</v>
      </c>
    </row>
    <row r="191" spans="1:15" ht="12.75">
      <c r="A191" s="115"/>
      <c r="B191" s="131" t="s">
        <v>28</v>
      </c>
      <c r="C191" s="15">
        <f>SUM(D191:O191)</f>
        <v>52557.73</v>
      </c>
      <c r="D191" s="15">
        <v>0</v>
      </c>
      <c r="E191" s="15">
        <v>0</v>
      </c>
      <c r="F191" s="15">
        <v>0</v>
      </c>
      <c r="G191" s="13">
        <v>5002.5</v>
      </c>
      <c r="H191" s="13">
        <f>5712.86+700.35+10.01</f>
        <v>6423.22</v>
      </c>
      <c r="I191" s="13">
        <v>4352.5</v>
      </c>
      <c r="J191" s="13">
        <f>5712.86+650+700.35+10.01</f>
        <v>7073.22</v>
      </c>
      <c r="K191" s="13">
        <v>5712.86</v>
      </c>
      <c r="L191" s="13">
        <v>5712.86</v>
      </c>
      <c r="M191" s="13">
        <v>5712.86</v>
      </c>
      <c r="N191" s="13">
        <v>5712.86</v>
      </c>
      <c r="O191" s="13">
        <v>6854.85</v>
      </c>
    </row>
    <row r="192" spans="1:15" ht="12.75">
      <c r="A192" s="115"/>
      <c r="B192" s="131" t="s">
        <v>29</v>
      </c>
      <c r="C192" s="15">
        <f>SUM(D192:O192)</f>
        <v>265671.42</v>
      </c>
      <c r="D192" s="15">
        <v>0</v>
      </c>
      <c r="E192" s="15">
        <v>0</v>
      </c>
      <c r="F192" s="15">
        <v>0</v>
      </c>
      <c r="G192" s="13">
        <v>17641</v>
      </c>
      <c r="H192" s="13">
        <f>30048.3+2469.74+35.28</f>
        <v>32553.32</v>
      </c>
      <c r="I192" s="13">
        <f>19770+3122</f>
        <v>22892</v>
      </c>
      <c r="J192" s="13">
        <f>30048.3+3181.36+502.32+45.45+7.16+2954+466</f>
        <v>37204.59</v>
      </c>
      <c r="K192" s="13">
        <f>30048.3-1363.44</f>
        <v>28684.86</v>
      </c>
      <c r="L192" s="13">
        <f>30048.3+1363.44-88.16</f>
        <v>31323.579999999998</v>
      </c>
      <c r="M192" s="13">
        <f>30048.3+88.16</f>
        <v>30136.46</v>
      </c>
      <c r="N192" s="13">
        <v>30048.3</v>
      </c>
      <c r="O192" s="13">
        <v>35187.31</v>
      </c>
    </row>
    <row r="193" spans="1:15" ht="25.5">
      <c r="A193" s="115"/>
      <c r="B193" s="131" t="s">
        <v>85</v>
      </c>
      <c r="C193" s="15">
        <f>SUM(D193:O193)</f>
        <v>8180.639999999999</v>
      </c>
      <c r="D193" s="15"/>
      <c r="E193" s="15"/>
      <c r="F193" s="15"/>
      <c r="G193" s="13">
        <v>7176</v>
      </c>
      <c r="H193" s="13">
        <v>1004.64</v>
      </c>
      <c r="I193" s="13"/>
      <c r="J193" s="15">
        <v>1195</v>
      </c>
      <c r="K193" s="13"/>
      <c r="L193" s="13"/>
      <c r="M193" s="15">
        <v>866</v>
      </c>
      <c r="N193" s="15"/>
      <c r="O193" s="16">
        <v>-2061</v>
      </c>
    </row>
    <row r="194" spans="1:15" ht="12.75">
      <c r="A194" s="115"/>
      <c r="B194" s="131" t="s">
        <v>30</v>
      </c>
      <c r="C194" s="15">
        <f aca="true" t="shared" si="41" ref="C194:C257">SUM(D194:O194)</f>
        <v>17300.82</v>
      </c>
      <c r="D194" s="15">
        <v>0</v>
      </c>
      <c r="E194" s="15">
        <v>0</v>
      </c>
      <c r="F194" s="15">
        <v>0</v>
      </c>
      <c r="G194" s="13"/>
      <c r="H194" s="13"/>
      <c r="I194" s="13"/>
      <c r="J194" s="13">
        <f>2495.27+831.78</f>
        <v>3327.05</v>
      </c>
      <c r="K194" s="13">
        <f>2850.69-355.42-901</f>
        <v>1594.27</v>
      </c>
      <c r="L194" s="13">
        <f>2495.27-990</f>
        <v>1505.27</v>
      </c>
      <c r="M194" s="13">
        <f>2495.27+990+355.42+901</f>
        <v>4741.6900000000005</v>
      </c>
      <c r="N194" s="13">
        <v>2495.27</v>
      </c>
      <c r="O194" s="13">
        <v>3637.27</v>
      </c>
    </row>
    <row r="195" spans="1:15" s="104" customFormat="1" ht="12.75">
      <c r="A195" s="107">
        <v>2</v>
      </c>
      <c r="B195" s="108" t="s">
        <v>26</v>
      </c>
      <c r="C195" s="109">
        <f t="shared" si="41"/>
        <v>451029</v>
      </c>
      <c r="D195" s="109">
        <f>SUM(D196:D201)</f>
        <v>0</v>
      </c>
      <c r="E195" s="109">
        <f aca="true" t="shared" si="42" ref="E195:O195">SUM(E196:E201)</f>
        <v>0</v>
      </c>
      <c r="F195" s="109">
        <f t="shared" si="42"/>
        <v>198626</v>
      </c>
      <c r="G195" s="109">
        <f t="shared" si="42"/>
        <v>0</v>
      </c>
      <c r="H195" s="109">
        <f t="shared" si="42"/>
        <v>20305</v>
      </c>
      <c r="I195" s="109">
        <f t="shared" si="42"/>
        <v>110231</v>
      </c>
      <c r="J195" s="109">
        <f t="shared" si="42"/>
        <v>33970</v>
      </c>
      <c r="K195" s="109">
        <f t="shared" si="42"/>
        <v>35159</v>
      </c>
      <c r="L195" s="109">
        <f t="shared" si="42"/>
        <v>0</v>
      </c>
      <c r="M195" s="109">
        <f t="shared" si="42"/>
        <v>10747</v>
      </c>
      <c r="N195" s="109">
        <f t="shared" si="42"/>
        <v>0</v>
      </c>
      <c r="O195" s="109">
        <f t="shared" si="42"/>
        <v>41991</v>
      </c>
    </row>
    <row r="196" spans="1:15" ht="25.5">
      <c r="A196" s="115"/>
      <c r="B196" s="131" t="s">
        <v>31</v>
      </c>
      <c r="C196" s="15">
        <f t="shared" si="41"/>
        <v>11925</v>
      </c>
      <c r="D196" s="15"/>
      <c r="E196" s="15"/>
      <c r="F196" s="15">
        <v>11925</v>
      </c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2.75">
      <c r="A197" s="115"/>
      <c r="B197" s="131" t="s">
        <v>32</v>
      </c>
      <c r="C197" s="15">
        <f t="shared" si="41"/>
        <v>113850</v>
      </c>
      <c r="D197" s="15"/>
      <c r="E197" s="15"/>
      <c r="F197" s="15">
        <v>113850</v>
      </c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38.25">
      <c r="A198" s="115"/>
      <c r="B198" s="131" t="s">
        <v>79</v>
      </c>
      <c r="C198" s="15">
        <f t="shared" si="41"/>
        <v>88737</v>
      </c>
      <c r="D198" s="15"/>
      <c r="E198" s="15"/>
      <c r="F198" s="15"/>
      <c r="G198" s="15"/>
      <c r="H198" s="15"/>
      <c r="I198" s="15">
        <v>88737</v>
      </c>
      <c r="J198" s="15"/>
      <c r="K198" s="15"/>
      <c r="L198" s="15"/>
      <c r="M198" s="15"/>
      <c r="N198" s="15"/>
      <c r="O198" s="15"/>
    </row>
    <row r="199" spans="1:15" ht="51">
      <c r="A199" s="115"/>
      <c r="B199" s="131" t="s">
        <v>77</v>
      </c>
      <c r="C199" s="15">
        <f t="shared" si="41"/>
        <v>30550</v>
      </c>
      <c r="D199" s="15"/>
      <c r="E199" s="15"/>
      <c r="F199" s="15">
        <v>14610</v>
      </c>
      <c r="G199" s="15"/>
      <c r="H199" s="15">
        <v>7305</v>
      </c>
      <c r="I199" s="15"/>
      <c r="J199" s="15">
        <f>7305+665</f>
        <v>7970</v>
      </c>
      <c r="K199" s="15">
        <v>665</v>
      </c>
      <c r="L199" s="15"/>
      <c r="M199" s="15"/>
      <c r="N199" s="15"/>
      <c r="O199" s="15"/>
    </row>
    <row r="200" spans="1:15" ht="51">
      <c r="A200" s="115"/>
      <c r="B200" s="131" t="s">
        <v>78</v>
      </c>
      <c r="C200" s="15">
        <f t="shared" si="41"/>
        <v>87750</v>
      </c>
      <c r="D200" s="15"/>
      <c r="E200" s="15"/>
      <c r="F200" s="15">
        <v>26000</v>
      </c>
      <c r="G200" s="15"/>
      <c r="H200" s="15">
        <v>13000</v>
      </c>
      <c r="I200" s="15"/>
      <c r="J200" s="15">
        <f>13000+13000</f>
        <v>26000</v>
      </c>
      <c r="K200" s="15">
        <v>13000</v>
      </c>
      <c r="L200" s="15"/>
      <c r="M200" s="15"/>
      <c r="N200" s="15"/>
      <c r="O200" s="15">
        <v>9750</v>
      </c>
    </row>
    <row r="201" spans="1:15" ht="12.75">
      <c r="A201" s="115"/>
      <c r="B201" s="131" t="s">
        <v>33</v>
      </c>
      <c r="C201" s="15">
        <f t="shared" si="41"/>
        <v>118217</v>
      </c>
      <c r="D201" s="15"/>
      <c r="E201" s="15"/>
      <c r="F201" s="15">
        <v>32241</v>
      </c>
      <c r="G201" s="15"/>
      <c r="H201" s="15"/>
      <c r="I201" s="15">
        <v>21494</v>
      </c>
      <c r="J201" s="15"/>
      <c r="K201" s="15">
        <v>21494</v>
      </c>
      <c r="L201" s="15"/>
      <c r="M201" s="15">
        <v>10747</v>
      </c>
      <c r="N201" s="15"/>
      <c r="O201" s="15">
        <v>32241</v>
      </c>
    </row>
    <row r="202" spans="1:15" s="104" customFormat="1" ht="12.75">
      <c r="A202" s="107">
        <v>3</v>
      </c>
      <c r="B202" s="108" t="s">
        <v>34</v>
      </c>
      <c r="C202" s="109">
        <f t="shared" si="41"/>
        <v>497440</v>
      </c>
      <c r="D202" s="109">
        <f>SUM(D203:D204)</f>
        <v>0</v>
      </c>
      <c r="E202" s="109">
        <f aca="true" t="shared" si="43" ref="E202:O202">SUM(E203:E204)</f>
        <v>0</v>
      </c>
      <c r="F202" s="109">
        <f t="shared" si="43"/>
        <v>24594</v>
      </c>
      <c r="G202" s="109">
        <f t="shared" si="43"/>
        <v>46494</v>
      </c>
      <c r="H202" s="109">
        <f t="shared" si="43"/>
        <v>30000</v>
      </c>
      <c r="I202" s="109">
        <f t="shared" si="43"/>
        <v>41088</v>
      </c>
      <c r="J202" s="109">
        <f t="shared" si="43"/>
        <v>71544</v>
      </c>
      <c r="K202" s="109">
        <f t="shared" si="43"/>
        <v>30000</v>
      </c>
      <c r="L202" s="109">
        <f t="shared" si="43"/>
        <v>53544</v>
      </c>
      <c r="M202" s="109">
        <f t="shared" si="43"/>
        <v>77088</v>
      </c>
      <c r="N202" s="109">
        <f t="shared" si="43"/>
        <v>64544</v>
      </c>
      <c r="O202" s="109">
        <f t="shared" si="43"/>
        <v>58544</v>
      </c>
    </row>
    <row r="203" spans="1:15" ht="38.25">
      <c r="A203" s="117"/>
      <c r="B203" s="131" t="s">
        <v>35</v>
      </c>
      <c r="C203" s="15">
        <f t="shared" si="41"/>
        <v>486440</v>
      </c>
      <c r="D203" s="15"/>
      <c r="E203" s="15"/>
      <c r="F203" s="15">
        <v>24594</v>
      </c>
      <c r="G203" s="15">
        <v>46494</v>
      </c>
      <c r="H203" s="15">
        <v>30000</v>
      </c>
      <c r="I203" s="15">
        <v>41088</v>
      </c>
      <c r="J203" s="15">
        <v>71544</v>
      </c>
      <c r="K203" s="15">
        <v>30000</v>
      </c>
      <c r="L203" s="15">
        <v>53544</v>
      </c>
      <c r="M203" s="15">
        <v>77088</v>
      </c>
      <c r="N203" s="15">
        <v>53544</v>
      </c>
      <c r="O203" s="15">
        <v>58544</v>
      </c>
    </row>
    <row r="204" spans="1:15" ht="25.5">
      <c r="A204" s="115"/>
      <c r="B204" s="131" t="s">
        <v>36</v>
      </c>
      <c r="C204" s="15">
        <f t="shared" si="41"/>
        <v>11000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>
        <v>11000</v>
      </c>
      <c r="O204" s="15"/>
    </row>
    <row r="205" spans="1:15" s="104" customFormat="1" ht="12.75">
      <c r="A205" s="107">
        <v>4</v>
      </c>
      <c r="B205" s="108" t="s">
        <v>37</v>
      </c>
      <c r="C205" s="109">
        <f t="shared" si="41"/>
        <v>37660</v>
      </c>
      <c r="D205" s="109">
        <f>SUM(D206:D208)</f>
        <v>0</v>
      </c>
      <c r="E205" s="109">
        <f aca="true" t="shared" si="44" ref="E205:O205">SUM(E206:E208)</f>
        <v>0</v>
      </c>
      <c r="F205" s="109">
        <f t="shared" si="44"/>
        <v>0</v>
      </c>
      <c r="G205" s="109">
        <f t="shared" si="44"/>
        <v>0</v>
      </c>
      <c r="H205" s="109">
        <f t="shared" si="44"/>
        <v>8306</v>
      </c>
      <c r="I205" s="109">
        <f t="shared" si="44"/>
        <v>0</v>
      </c>
      <c r="J205" s="109">
        <f t="shared" si="44"/>
        <v>16612</v>
      </c>
      <c r="K205" s="109">
        <f t="shared" si="44"/>
        <v>0</v>
      </c>
      <c r="L205" s="109">
        <f t="shared" si="44"/>
        <v>5442</v>
      </c>
      <c r="M205" s="109">
        <f t="shared" si="44"/>
        <v>4450</v>
      </c>
      <c r="N205" s="109">
        <f t="shared" si="44"/>
        <v>2850</v>
      </c>
      <c r="O205" s="109">
        <f t="shared" si="44"/>
        <v>0</v>
      </c>
    </row>
    <row r="206" spans="1:15" ht="25.5">
      <c r="A206" s="115"/>
      <c r="B206" s="131" t="s">
        <v>40</v>
      </c>
      <c r="C206" s="15">
        <f t="shared" si="41"/>
        <v>14600</v>
      </c>
      <c r="D206" s="15"/>
      <c r="E206" s="15"/>
      <c r="F206" s="15"/>
      <c r="G206" s="15"/>
      <c r="H206" s="15">
        <v>3650</v>
      </c>
      <c r="I206" s="15"/>
      <c r="J206" s="15">
        <v>7300</v>
      </c>
      <c r="K206" s="15"/>
      <c r="L206" s="15">
        <v>3650</v>
      </c>
      <c r="M206" s="15"/>
      <c r="N206" s="15"/>
      <c r="O206" s="15"/>
    </row>
    <row r="207" spans="1:15" ht="25.5">
      <c r="A207" s="115"/>
      <c r="B207" s="131" t="s">
        <v>39</v>
      </c>
      <c r="C207" s="15">
        <f t="shared" si="41"/>
        <v>15760</v>
      </c>
      <c r="D207" s="15"/>
      <c r="E207" s="15"/>
      <c r="F207" s="15"/>
      <c r="G207" s="15"/>
      <c r="H207" s="15">
        <v>4656</v>
      </c>
      <c r="I207" s="15"/>
      <c r="J207" s="15">
        <v>9312</v>
      </c>
      <c r="K207" s="15"/>
      <c r="L207" s="15">
        <f>3940-2148</f>
        <v>1792</v>
      </c>
      <c r="M207" s="15"/>
      <c r="N207" s="15"/>
      <c r="O207" s="15"/>
    </row>
    <row r="208" spans="1:15" ht="12.75">
      <c r="A208" s="117"/>
      <c r="B208" s="131" t="s">
        <v>99</v>
      </c>
      <c r="C208" s="15">
        <f t="shared" si="41"/>
        <v>7300</v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>
        <f>7950-3500</f>
        <v>4450</v>
      </c>
      <c r="N208" s="15">
        <v>2850</v>
      </c>
      <c r="O208" s="15"/>
    </row>
    <row r="209" spans="1:15" s="104" customFormat="1" ht="12.75">
      <c r="A209" s="107">
        <v>5</v>
      </c>
      <c r="B209" s="108" t="s">
        <v>38</v>
      </c>
      <c r="C209" s="109">
        <f t="shared" si="41"/>
        <v>298213.43</v>
      </c>
      <c r="D209" s="109">
        <f>SUM(D210:D215)</f>
        <v>0</v>
      </c>
      <c r="E209" s="109">
        <f aca="true" t="shared" si="45" ref="E209:O209">SUM(E210:E215)</f>
        <v>0</v>
      </c>
      <c r="F209" s="109">
        <f t="shared" si="45"/>
        <v>21000</v>
      </c>
      <c r="G209" s="109">
        <f t="shared" si="45"/>
        <v>0</v>
      </c>
      <c r="H209" s="109">
        <f t="shared" si="45"/>
        <v>0</v>
      </c>
      <c r="I209" s="109">
        <f t="shared" si="45"/>
        <v>65693.43</v>
      </c>
      <c r="J209" s="109">
        <f t="shared" si="45"/>
        <v>68400</v>
      </c>
      <c r="K209" s="109">
        <f t="shared" si="45"/>
        <v>0</v>
      </c>
      <c r="L209" s="109">
        <f t="shared" si="45"/>
        <v>58635</v>
      </c>
      <c r="M209" s="109">
        <f t="shared" si="45"/>
        <v>25750</v>
      </c>
      <c r="N209" s="109">
        <f t="shared" si="45"/>
        <v>32885</v>
      </c>
      <c r="O209" s="109">
        <f t="shared" si="45"/>
        <v>25850</v>
      </c>
    </row>
    <row r="210" spans="1:15" ht="24" customHeight="1">
      <c r="A210" s="115"/>
      <c r="B210" s="131" t="s">
        <v>44</v>
      </c>
      <c r="C210" s="15">
        <f t="shared" si="41"/>
        <v>235000</v>
      </c>
      <c r="D210" s="15"/>
      <c r="E210" s="15"/>
      <c r="F210" s="15">
        <v>21000</v>
      </c>
      <c r="G210" s="15"/>
      <c r="H210" s="15"/>
      <c r="I210" s="15">
        <f>21800+21000+21000</f>
        <v>63800</v>
      </c>
      <c r="J210" s="15">
        <f>21500+21600</f>
        <v>43100</v>
      </c>
      <c r="K210" s="15"/>
      <c r="L210" s="15">
        <v>42800</v>
      </c>
      <c r="M210" s="15">
        <v>21400</v>
      </c>
      <c r="N210" s="15">
        <v>21400</v>
      </c>
      <c r="O210" s="16">
        <v>21500</v>
      </c>
    </row>
    <row r="211" spans="1:15" ht="25.5">
      <c r="A211" s="115"/>
      <c r="B211" s="131" t="s">
        <v>39</v>
      </c>
      <c r="C211" s="15">
        <f t="shared" si="41"/>
        <v>30450</v>
      </c>
      <c r="D211" s="15"/>
      <c r="E211" s="15"/>
      <c r="F211" s="15"/>
      <c r="G211" s="15"/>
      <c r="H211" s="15"/>
      <c r="I211" s="15"/>
      <c r="J211" s="15">
        <v>8700</v>
      </c>
      <c r="K211" s="15"/>
      <c r="L211" s="15">
        <v>8700</v>
      </c>
      <c r="M211" s="15">
        <v>4350</v>
      </c>
      <c r="N211" s="15">
        <v>4350</v>
      </c>
      <c r="O211" s="15">
        <v>4350</v>
      </c>
    </row>
    <row r="212" spans="1:15" ht="25.5">
      <c r="A212" s="115"/>
      <c r="B212" s="131" t="s">
        <v>40</v>
      </c>
      <c r="C212" s="15">
        <f t="shared" si="41"/>
        <v>14600</v>
      </c>
      <c r="D212" s="15"/>
      <c r="E212" s="15"/>
      <c r="F212" s="15"/>
      <c r="G212" s="15"/>
      <c r="H212" s="15"/>
      <c r="I212" s="15"/>
      <c r="J212" s="15">
        <v>14600</v>
      </c>
      <c r="K212" s="15"/>
      <c r="L212" s="15"/>
      <c r="M212" s="15"/>
      <c r="N212" s="15"/>
      <c r="O212" s="15"/>
    </row>
    <row r="213" spans="1:15" ht="25.5">
      <c r="A213" s="115"/>
      <c r="B213" s="131" t="s">
        <v>43</v>
      </c>
      <c r="C213" s="15">
        <f t="shared" si="41"/>
        <v>14270</v>
      </c>
      <c r="D213" s="15"/>
      <c r="E213" s="15"/>
      <c r="F213" s="15"/>
      <c r="G213" s="15"/>
      <c r="H213" s="15"/>
      <c r="I213" s="15"/>
      <c r="J213" s="15"/>
      <c r="K213" s="15"/>
      <c r="L213" s="15">
        <v>7135</v>
      </c>
      <c r="M213" s="15"/>
      <c r="N213" s="15">
        <v>7135</v>
      </c>
      <c r="O213" s="15"/>
    </row>
    <row r="214" spans="1:15" ht="12.75">
      <c r="A214" s="115"/>
      <c r="B214" s="131" t="s">
        <v>41</v>
      </c>
      <c r="C214" s="15">
        <f t="shared" si="41"/>
        <v>1893.43</v>
      </c>
      <c r="D214" s="15"/>
      <c r="E214" s="15"/>
      <c r="F214" s="15"/>
      <c r="G214" s="15"/>
      <c r="H214" s="15"/>
      <c r="I214" s="15">
        <v>1893.43</v>
      </c>
      <c r="J214" s="15"/>
      <c r="K214" s="15"/>
      <c r="L214" s="15"/>
      <c r="M214" s="15"/>
      <c r="N214" s="15"/>
      <c r="O214" s="15"/>
    </row>
    <row r="215" spans="1:15" ht="12.75">
      <c r="A215" s="115"/>
      <c r="B215" s="131" t="s">
        <v>42</v>
      </c>
      <c r="C215" s="15">
        <f t="shared" si="41"/>
        <v>2000</v>
      </c>
      <c r="D215" s="15"/>
      <c r="E215" s="15"/>
      <c r="F215" s="15"/>
      <c r="G215" s="15"/>
      <c r="H215" s="15"/>
      <c r="I215" s="15"/>
      <c r="J215" s="15">
        <v>2000</v>
      </c>
      <c r="K215" s="15"/>
      <c r="L215" s="15"/>
      <c r="M215" s="15"/>
      <c r="N215" s="15"/>
      <c r="O215" s="15"/>
    </row>
    <row r="216" spans="1:15" ht="12.75">
      <c r="A216" s="107">
        <v>6</v>
      </c>
      <c r="B216" s="129" t="s">
        <v>45</v>
      </c>
      <c r="C216" s="109">
        <f t="shared" si="41"/>
        <v>277247.62</v>
      </c>
      <c r="D216" s="109">
        <f>SUM(D217:D218)</f>
        <v>0</v>
      </c>
      <c r="E216" s="109">
        <f aca="true" t="shared" si="46" ref="E216:O216">SUM(E217:E218)</f>
        <v>0</v>
      </c>
      <c r="F216" s="109">
        <f t="shared" si="46"/>
        <v>44593.02</v>
      </c>
      <c r="G216" s="109">
        <f t="shared" si="46"/>
        <v>0</v>
      </c>
      <c r="H216" s="109">
        <f t="shared" si="46"/>
        <v>0</v>
      </c>
      <c r="I216" s="109">
        <f t="shared" si="46"/>
        <v>44593.02</v>
      </c>
      <c r="J216" s="109">
        <f t="shared" si="46"/>
        <v>44593.02</v>
      </c>
      <c r="K216" s="109">
        <f t="shared" si="46"/>
        <v>22296.51</v>
      </c>
      <c r="L216" s="109">
        <f t="shared" si="46"/>
        <v>0</v>
      </c>
      <c r="M216" s="109">
        <f t="shared" si="46"/>
        <v>76579.03</v>
      </c>
      <c r="N216" s="109">
        <f t="shared" si="46"/>
        <v>22296.51</v>
      </c>
      <c r="O216" s="109">
        <f t="shared" si="46"/>
        <v>22296.51</v>
      </c>
    </row>
    <row r="217" spans="1:15" ht="25.5">
      <c r="A217" s="115"/>
      <c r="B217" s="131" t="s">
        <v>46</v>
      </c>
      <c r="C217" s="15">
        <f t="shared" si="41"/>
        <v>245261.61000000002</v>
      </c>
      <c r="D217" s="15"/>
      <c r="E217" s="16"/>
      <c r="F217" s="16">
        <v>44593.02</v>
      </c>
      <c r="G217" s="16"/>
      <c r="H217" s="16"/>
      <c r="I217" s="16">
        <v>44593.02</v>
      </c>
      <c r="J217" s="16">
        <v>44593.02</v>
      </c>
      <c r="K217" s="15">
        <v>22296.51</v>
      </c>
      <c r="L217" s="15"/>
      <c r="M217" s="16">
        <v>44593.02</v>
      </c>
      <c r="N217" s="15">
        <v>22296.51</v>
      </c>
      <c r="O217" s="15">
        <v>22296.51</v>
      </c>
    </row>
    <row r="218" spans="1:15" ht="25.5">
      <c r="A218" s="115"/>
      <c r="B218" s="131" t="s">
        <v>47</v>
      </c>
      <c r="C218" s="15">
        <f t="shared" si="41"/>
        <v>31986.01</v>
      </c>
      <c r="D218" s="15"/>
      <c r="E218" s="15"/>
      <c r="F218" s="16"/>
      <c r="G218" s="16"/>
      <c r="H218" s="16"/>
      <c r="I218" s="15"/>
      <c r="J218" s="15"/>
      <c r="K218" s="15"/>
      <c r="L218" s="15"/>
      <c r="M218" s="15">
        <v>31986.01</v>
      </c>
      <c r="N218" s="15"/>
      <c r="O218" s="15"/>
    </row>
    <row r="219" spans="1:15" ht="38.25">
      <c r="A219" s="107">
        <v>7</v>
      </c>
      <c r="B219" s="108" t="s">
        <v>115</v>
      </c>
      <c r="C219" s="109">
        <f t="shared" si="41"/>
        <v>65627.6</v>
      </c>
      <c r="D219" s="132"/>
      <c r="E219" s="132"/>
      <c r="F219" s="132">
        <v>11932</v>
      </c>
      <c r="G219" s="132"/>
      <c r="H219" s="132"/>
      <c r="I219" s="109">
        <v>5966</v>
      </c>
      <c r="J219" s="109">
        <v>11932</v>
      </c>
      <c r="K219" s="109">
        <v>5966</v>
      </c>
      <c r="L219" s="109"/>
      <c r="M219" s="109">
        <f>11932.64+5966.32</f>
        <v>17898.96</v>
      </c>
      <c r="N219" s="109"/>
      <c r="O219" s="109">
        <v>11932.64</v>
      </c>
    </row>
    <row r="220" spans="1:15" ht="38.25">
      <c r="A220" s="107">
        <v>8</v>
      </c>
      <c r="B220" s="108" t="s">
        <v>48</v>
      </c>
      <c r="C220" s="109">
        <f t="shared" si="41"/>
        <v>13810</v>
      </c>
      <c r="D220" s="109"/>
      <c r="E220" s="132"/>
      <c r="F220" s="132"/>
      <c r="G220" s="109"/>
      <c r="H220" s="109">
        <v>5310</v>
      </c>
      <c r="I220" s="109"/>
      <c r="J220" s="109"/>
      <c r="K220" s="109"/>
      <c r="L220" s="109">
        <v>3400</v>
      </c>
      <c r="M220" s="109">
        <v>3400</v>
      </c>
      <c r="N220" s="109"/>
      <c r="O220" s="109">
        <v>1700</v>
      </c>
    </row>
    <row r="221" spans="1:15" ht="38.25">
      <c r="A221" s="107">
        <v>9</v>
      </c>
      <c r="B221" s="108" t="s">
        <v>51</v>
      </c>
      <c r="C221" s="109">
        <f t="shared" si="41"/>
        <v>16800</v>
      </c>
      <c r="D221" s="133"/>
      <c r="E221" s="132"/>
      <c r="F221" s="132">
        <v>8400</v>
      </c>
      <c r="G221" s="132"/>
      <c r="H221" s="132"/>
      <c r="I221" s="109">
        <v>4200</v>
      </c>
      <c r="J221" s="109">
        <v>4200</v>
      </c>
      <c r="K221" s="109"/>
      <c r="L221" s="109"/>
      <c r="M221" s="109"/>
      <c r="N221" s="109"/>
      <c r="O221" s="109"/>
    </row>
    <row r="222" spans="1:15" ht="25.5">
      <c r="A222" s="107">
        <v>10</v>
      </c>
      <c r="B222" s="108" t="s">
        <v>50</v>
      </c>
      <c r="C222" s="109">
        <f t="shared" si="41"/>
        <v>24150</v>
      </c>
      <c r="D222" s="15"/>
      <c r="E222" s="15"/>
      <c r="F222" s="15"/>
      <c r="G222" s="15"/>
      <c r="H222" s="16"/>
      <c r="I222" s="15"/>
      <c r="J222" s="109"/>
      <c r="K222" s="109">
        <v>4830</v>
      </c>
      <c r="L222" s="109">
        <v>4830</v>
      </c>
      <c r="M222" s="109">
        <v>4830</v>
      </c>
      <c r="N222" s="109">
        <v>4830</v>
      </c>
      <c r="O222" s="109">
        <v>4830</v>
      </c>
    </row>
    <row r="223" spans="1:15" ht="25.5">
      <c r="A223" s="107">
        <v>11</v>
      </c>
      <c r="B223" s="108" t="s">
        <v>49</v>
      </c>
      <c r="C223" s="109">
        <f t="shared" si="41"/>
        <v>30003.739999999998</v>
      </c>
      <c r="D223" s="109"/>
      <c r="E223" s="109"/>
      <c r="F223" s="109">
        <v>4674</v>
      </c>
      <c r="G223" s="132"/>
      <c r="H223" s="132"/>
      <c r="I223" s="132">
        <f>2337+2950.82</f>
        <v>5287.82</v>
      </c>
      <c r="J223" s="109">
        <f>2337+2950.82</f>
        <v>5287.82</v>
      </c>
      <c r="K223" s="109">
        <v>2950.82</v>
      </c>
      <c r="L223" s="109">
        <v>2950.82</v>
      </c>
      <c r="M223" s="109">
        <v>2950.82</v>
      </c>
      <c r="N223" s="109">
        <v>2950.82</v>
      </c>
      <c r="O223" s="109">
        <v>2950.82</v>
      </c>
    </row>
    <row r="224" spans="1:15" ht="25.5">
      <c r="A224" s="107">
        <v>12</v>
      </c>
      <c r="B224" s="108" t="s">
        <v>55</v>
      </c>
      <c r="C224" s="109">
        <f t="shared" si="41"/>
        <v>8332.150000000001</v>
      </c>
      <c r="D224" s="109">
        <f>SUM(D225:D226)</f>
        <v>0</v>
      </c>
      <c r="E224" s="109">
        <f aca="true" t="shared" si="47" ref="E224:O224">SUM(E225:E226)</f>
        <v>1100</v>
      </c>
      <c r="F224" s="109">
        <f t="shared" si="47"/>
        <v>440</v>
      </c>
      <c r="G224" s="109">
        <f t="shared" si="47"/>
        <v>720.72</v>
      </c>
      <c r="H224" s="109">
        <f t="shared" si="47"/>
        <v>664.21</v>
      </c>
      <c r="I224" s="109">
        <f t="shared" si="47"/>
        <v>548</v>
      </c>
      <c r="J224" s="109">
        <f t="shared" si="47"/>
        <v>836</v>
      </c>
      <c r="K224" s="109">
        <f t="shared" si="47"/>
        <v>704</v>
      </c>
      <c r="L224" s="109">
        <f t="shared" si="47"/>
        <v>943.22</v>
      </c>
      <c r="M224" s="109">
        <f t="shared" si="47"/>
        <v>878</v>
      </c>
      <c r="N224" s="109">
        <f t="shared" si="47"/>
        <v>782</v>
      </c>
      <c r="O224" s="109">
        <f t="shared" si="47"/>
        <v>716</v>
      </c>
    </row>
    <row r="225" spans="1:15" ht="12.75">
      <c r="A225" s="107"/>
      <c r="B225" s="131" t="s">
        <v>58</v>
      </c>
      <c r="C225" s="15">
        <f t="shared" si="41"/>
        <v>7816</v>
      </c>
      <c r="D225" s="15"/>
      <c r="E225" s="16">
        <v>1100</v>
      </c>
      <c r="F225" s="15">
        <f>40+400</f>
        <v>440</v>
      </c>
      <c r="G225" s="15">
        <f>16+400+150</f>
        <v>566</v>
      </c>
      <c r="H225" s="15">
        <f>100+400</f>
        <v>500</v>
      </c>
      <c r="I225" s="15">
        <f>148+400</f>
        <v>548</v>
      </c>
      <c r="J225" s="15">
        <f>336+500</f>
        <v>836</v>
      </c>
      <c r="K225" s="15">
        <f>204+500</f>
        <v>704</v>
      </c>
      <c r="L225" s="15">
        <f>276+500</f>
        <v>776</v>
      </c>
      <c r="M225" s="15">
        <f>378+500</f>
        <v>878</v>
      </c>
      <c r="N225" s="15">
        <f>252+500</f>
        <v>752</v>
      </c>
      <c r="O225" s="15">
        <f>216+500</f>
        <v>716</v>
      </c>
    </row>
    <row r="226" spans="1:15" ht="12.75">
      <c r="A226" s="107"/>
      <c r="B226" s="131" t="s">
        <v>59</v>
      </c>
      <c r="C226" s="15">
        <f t="shared" si="41"/>
        <v>516.15</v>
      </c>
      <c r="D226" s="15"/>
      <c r="E226" s="15"/>
      <c r="F226" s="15"/>
      <c r="G226" s="15">
        <v>154.72</v>
      </c>
      <c r="H226" s="15">
        <v>164.21</v>
      </c>
      <c r="I226" s="15"/>
      <c r="J226" s="15"/>
      <c r="K226" s="15"/>
      <c r="L226" s="15">
        <v>167.22</v>
      </c>
      <c r="M226" s="15"/>
      <c r="N226" s="15">
        <v>30</v>
      </c>
      <c r="O226" s="15"/>
    </row>
    <row r="227" spans="1:15" ht="25.5">
      <c r="A227" s="107">
        <v>13</v>
      </c>
      <c r="B227" s="108" t="s">
        <v>80</v>
      </c>
      <c r="C227" s="109">
        <f t="shared" si="41"/>
        <v>1825</v>
      </c>
      <c r="D227" s="109"/>
      <c r="E227" s="109"/>
      <c r="F227" s="109"/>
      <c r="G227" s="109">
        <f>1800+25</f>
        <v>1825</v>
      </c>
      <c r="H227" s="109"/>
      <c r="I227" s="109"/>
      <c r="J227" s="109"/>
      <c r="K227" s="109"/>
      <c r="L227" s="109"/>
      <c r="M227" s="109"/>
      <c r="N227" s="109"/>
      <c r="O227" s="109"/>
    </row>
    <row r="228" spans="1:15" ht="38.25">
      <c r="A228" s="107">
        <v>14</v>
      </c>
      <c r="B228" s="108" t="s">
        <v>56</v>
      </c>
      <c r="C228" s="109">
        <f t="shared" si="41"/>
        <v>400</v>
      </c>
      <c r="D228" s="109"/>
      <c r="E228" s="109"/>
      <c r="F228" s="109"/>
      <c r="G228" s="109"/>
      <c r="H228" s="109"/>
      <c r="I228" s="109"/>
      <c r="J228" s="109"/>
      <c r="K228" s="109"/>
      <c r="L228" s="109">
        <v>100</v>
      </c>
      <c r="M228" s="109">
        <v>100</v>
      </c>
      <c r="N228" s="109">
        <v>100</v>
      </c>
      <c r="O228" s="109">
        <v>100</v>
      </c>
    </row>
    <row r="229" spans="1:15" ht="38.25">
      <c r="A229" s="107">
        <v>15</v>
      </c>
      <c r="B229" s="108" t="s">
        <v>52</v>
      </c>
      <c r="C229" s="109">
        <f t="shared" si="41"/>
        <v>6044.05</v>
      </c>
      <c r="D229" s="109"/>
      <c r="E229" s="109"/>
      <c r="F229" s="109">
        <v>1256</v>
      </c>
      <c r="G229" s="109"/>
      <c r="H229" s="109"/>
      <c r="I229" s="109">
        <v>627.45</v>
      </c>
      <c r="J229" s="109">
        <f>627.38+627.38+627.46</f>
        <v>1882.22</v>
      </c>
      <c r="K229" s="109">
        <v>627.38</v>
      </c>
      <c r="L229" s="109"/>
      <c r="M229" s="109"/>
      <c r="N229" s="109"/>
      <c r="O229" s="109">
        <v>1651</v>
      </c>
    </row>
    <row r="230" spans="1:15" ht="38.25">
      <c r="A230" s="107">
        <v>16</v>
      </c>
      <c r="B230" s="108" t="s">
        <v>53</v>
      </c>
      <c r="C230" s="109">
        <f t="shared" si="41"/>
        <v>5400</v>
      </c>
      <c r="D230" s="109"/>
      <c r="E230" s="109"/>
      <c r="F230" s="109"/>
      <c r="G230" s="109"/>
      <c r="H230" s="109"/>
      <c r="I230" s="109"/>
      <c r="J230" s="109"/>
      <c r="K230" s="109"/>
      <c r="L230" s="109">
        <v>5400</v>
      </c>
      <c r="M230" s="109"/>
      <c r="N230" s="109"/>
      <c r="O230" s="109"/>
    </row>
    <row r="231" spans="1:15" ht="38.25">
      <c r="A231" s="107">
        <v>17</v>
      </c>
      <c r="B231" s="108" t="s">
        <v>54</v>
      </c>
      <c r="C231" s="109">
        <f t="shared" si="41"/>
        <v>500</v>
      </c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>
        <v>500</v>
      </c>
      <c r="O231" s="109"/>
    </row>
    <row r="232" spans="1:15" ht="25.5">
      <c r="A232" s="107">
        <v>18</v>
      </c>
      <c r="B232" s="108" t="s">
        <v>57</v>
      </c>
      <c r="C232" s="109">
        <f t="shared" si="41"/>
        <v>12890</v>
      </c>
      <c r="D232" s="109">
        <f>SUM(D233:D235)</f>
        <v>0</v>
      </c>
      <c r="E232" s="109">
        <f aca="true" t="shared" si="48" ref="E232:O232">SUM(E233:E235)</f>
        <v>0</v>
      </c>
      <c r="F232" s="109">
        <f t="shared" si="48"/>
        <v>0</v>
      </c>
      <c r="G232" s="109">
        <f t="shared" si="48"/>
        <v>0</v>
      </c>
      <c r="H232" s="109">
        <f t="shared" si="48"/>
        <v>3900</v>
      </c>
      <c r="I232" s="109">
        <f t="shared" si="48"/>
        <v>3800</v>
      </c>
      <c r="J232" s="109">
        <f t="shared" si="48"/>
        <v>0</v>
      </c>
      <c r="K232" s="109">
        <f t="shared" si="48"/>
        <v>0</v>
      </c>
      <c r="L232" s="109">
        <f t="shared" si="48"/>
        <v>5190</v>
      </c>
      <c r="M232" s="109">
        <f t="shared" si="48"/>
        <v>0</v>
      </c>
      <c r="N232" s="109">
        <f t="shared" si="48"/>
        <v>0</v>
      </c>
      <c r="O232" s="109">
        <f t="shared" si="48"/>
        <v>0</v>
      </c>
    </row>
    <row r="233" spans="1:15" ht="25.5">
      <c r="A233" s="115"/>
      <c r="B233" s="131" t="s">
        <v>62</v>
      </c>
      <c r="C233" s="15">
        <f t="shared" si="41"/>
        <v>5190</v>
      </c>
      <c r="D233" s="15"/>
      <c r="E233" s="15"/>
      <c r="F233" s="16"/>
      <c r="G233" s="15"/>
      <c r="H233" s="15"/>
      <c r="I233" s="15"/>
      <c r="J233" s="15"/>
      <c r="K233" s="15"/>
      <c r="L233" s="15">
        <f>1000+4190</f>
        <v>5190</v>
      </c>
      <c r="M233" s="15"/>
      <c r="N233" s="15"/>
      <c r="O233" s="15"/>
    </row>
    <row r="234" spans="1:15" ht="25.5">
      <c r="A234" s="115"/>
      <c r="B234" s="131" t="s">
        <v>60</v>
      </c>
      <c r="C234" s="15">
        <f t="shared" si="41"/>
        <v>3800</v>
      </c>
      <c r="D234" s="15"/>
      <c r="E234" s="15"/>
      <c r="F234" s="15"/>
      <c r="G234" s="15"/>
      <c r="H234" s="15"/>
      <c r="I234" s="15">
        <v>3800</v>
      </c>
      <c r="J234" s="15"/>
      <c r="K234" s="15"/>
      <c r="L234" s="15"/>
      <c r="M234" s="15"/>
      <c r="N234" s="15"/>
      <c r="O234" s="15"/>
    </row>
    <row r="235" spans="1:15" ht="25.5">
      <c r="A235" s="115"/>
      <c r="B235" s="131" t="s">
        <v>61</v>
      </c>
      <c r="C235" s="15">
        <f t="shared" si="41"/>
        <v>3900</v>
      </c>
      <c r="D235" s="15"/>
      <c r="E235" s="15"/>
      <c r="F235" s="15"/>
      <c r="G235" s="15"/>
      <c r="H235" s="15">
        <v>3900</v>
      </c>
      <c r="I235" s="15"/>
      <c r="J235" s="15"/>
      <c r="K235" s="15"/>
      <c r="L235" s="15"/>
      <c r="M235" s="15"/>
      <c r="N235" s="15"/>
      <c r="O235" s="15"/>
    </row>
    <row r="236" spans="1:15" ht="25.5">
      <c r="A236" s="107">
        <v>19</v>
      </c>
      <c r="B236" s="108" t="s">
        <v>63</v>
      </c>
      <c r="C236" s="109">
        <f t="shared" si="41"/>
        <v>8000</v>
      </c>
      <c r="D236" s="109"/>
      <c r="E236" s="109"/>
      <c r="F236" s="109"/>
      <c r="G236" s="109"/>
      <c r="H236" s="109"/>
      <c r="I236" s="109"/>
      <c r="J236" s="109"/>
      <c r="K236" s="109">
        <v>7500</v>
      </c>
      <c r="L236" s="109"/>
      <c r="M236" s="109">
        <v>500</v>
      </c>
      <c r="N236" s="109"/>
      <c r="O236" s="109"/>
    </row>
    <row r="237" spans="1:15" ht="38.25">
      <c r="A237" s="107">
        <v>20</v>
      </c>
      <c r="B237" s="108" t="s">
        <v>98</v>
      </c>
      <c r="C237" s="109">
        <f t="shared" si="41"/>
        <v>3930.72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34">
        <v>3930.72</v>
      </c>
    </row>
    <row r="238" spans="1:15" ht="25.5">
      <c r="A238" s="107">
        <v>21</v>
      </c>
      <c r="B238" s="108" t="s">
        <v>64</v>
      </c>
      <c r="C238" s="109">
        <f t="shared" si="41"/>
        <v>4304.5</v>
      </c>
      <c r="D238" s="109"/>
      <c r="E238" s="109"/>
      <c r="F238" s="109"/>
      <c r="G238" s="109"/>
      <c r="H238" s="109">
        <v>2772.5</v>
      </c>
      <c r="I238" s="109">
        <f>1078+454</f>
        <v>1532</v>
      </c>
      <c r="J238" s="109"/>
      <c r="K238" s="109"/>
      <c r="L238" s="109"/>
      <c r="M238" s="109"/>
      <c r="N238" s="109"/>
      <c r="O238" s="109"/>
    </row>
    <row r="239" spans="1:15" ht="25.5">
      <c r="A239" s="107">
        <v>22</v>
      </c>
      <c r="B239" s="108" t="s">
        <v>65</v>
      </c>
      <c r="C239" s="109">
        <f t="shared" si="41"/>
        <v>1320</v>
      </c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>
        <v>1320</v>
      </c>
      <c r="O239" s="109"/>
    </row>
    <row r="240" spans="1:15" ht="38.25">
      <c r="A240" s="107">
        <v>23</v>
      </c>
      <c r="B240" s="108" t="s">
        <v>76</v>
      </c>
      <c r="C240" s="109">
        <f t="shared" si="41"/>
        <v>29500</v>
      </c>
      <c r="D240" s="109"/>
      <c r="E240" s="109"/>
      <c r="F240" s="109"/>
      <c r="G240" s="109"/>
      <c r="H240" s="109"/>
      <c r="I240" s="109"/>
      <c r="J240" s="109">
        <v>29500</v>
      </c>
      <c r="K240" s="109"/>
      <c r="L240" s="109"/>
      <c r="M240" s="109"/>
      <c r="N240" s="109"/>
      <c r="O240" s="109"/>
    </row>
    <row r="241" spans="1:15" ht="25.5">
      <c r="A241" s="107">
        <v>24</v>
      </c>
      <c r="B241" s="108" t="s">
        <v>66</v>
      </c>
      <c r="C241" s="109">
        <f t="shared" si="41"/>
        <v>1628.4</v>
      </c>
      <c r="D241" s="109"/>
      <c r="E241" s="109"/>
      <c r="F241" s="109"/>
      <c r="G241" s="109"/>
      <c r="H241" s="109"/>
      <c r="I241" s="109"/>
      <c r="J241" s="109">
        <v>1628.4</v>
      </c>
      <c r="K241" s="109"/>
      <c r="L241" s="109"/>
      <c r="M241" s="109"/>
      <c r="N241" s="109"/>
      <c r="O241" s="109"/>
    </row>
    <row r="242" spans="1:15" ht="25.5">
      <c r="A242" s="107">
        <v>25</v>
      </c>
      <c r="B242" s="108" t="s">
        <v>117</v>
      </c>
      <c r="C242" s="109">
        <f t="shared" si="41"/>
        <v>6500</v>
      </c>
      <c r="D242" s="109"/>
      <c r="E242" s="109"/>
      <c r="F242" s="109"/>
      <c r="G242" s="109"/>
      <c r="H242" s="109"/>
      <c r="I242" s="109"/>
      <c r="J242" s="109">
        <v>6500</v>
      </c>
      <c r="K242" s="109"/>
      <c r="L242" s="109"/>
      <c r="M242" s="109"/>
      <c r="N242" s="109"/>
      <c r="O242" s="109"/>
    </row>
    <row r="243" spans="1:15" ht="25.5">
      <c r="A243" s="107">
        <v>26</v>
      </c>
      <c r="B243" s="108" t="s">
        <v>67</v>
      </c>
      <c r="C243" s="109">
        <f t="shared" si="41"/>
        <v>6825.66</v>
      </c>
      <c r="D243" s="109"/>
      <c r="E243" s="109"/>
      <c r="F243" s="109"/>
      <c r="G243" s="109"/>
      <c r="H243" s="109"/>
      <c r="I243" s="109"/>
      <c r="J243" s="109"/>
      <c r="K243" s="109"/>
      <c r="L243" s="109">
        <v>6825.66</v>
      </c>
      <c r="M243" s="109"/>
      <c r="N243" s="109"/>
      <c r="O243" s="109"/>
    </row>
    <row r="244" spans="1:15" ht="25.5">
      <c r="A244" s="107">
        <v>27</v>
      </c>
      <c r="B244" s="108" t="s">
        <v>116</v>
      </c>
      <c r="C244" s="109">
        <f t="shared" si="41"/>
        <v>734.3</v>
      </c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>
        <v>734.3</v>
      </c>
      <c r="O244" s="109"/>
    </row>
    <row r="245" spans="1:15" ht="13.5" customHeight="1">
      <c r="A245" s="107">
        <v>28</v>
      </c>
      <c r="B245" s="108" t="s">
        <v>120</v>
      </c>
      <c r="C245" s="109">
        <f t="shared" si="41"/>
        <v>21250</v>
      </c>
      <c r="D245" s="109"/>
      <c r="E245" s="109"/>
      <c r="F245" s="109">
        <v>21250</v>
      </c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1:15" ht="25.5">
      <c r="A246" s="107">
        <v>29</v>
      </c>
      <c r="B246" s="108" t="s">
        <v>121</v>
      </c>
      <c r="C246" s="109">
        <f t="shared" si="41"/>
        <v>10800</v>
      </c>
      <c r="D246" s="109"/>
      <c r="E246" s="109"/>
      <c r="F246" s="109">
        <v>10800</v>
      </c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1:15" ht="25.5">
      <c r="A247" s="107">
        <v>30</v>
      </c>
      <c r="B247" s="108" t="s">
        <v>71</v>
      </c>
      <c r="C247" s="109">
        <f t="shared" si="41"/>
        <v>8201.03</v>
      </c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>
        <v>8201.03</v>
      </c>
    </row>
    <row r="248" spans="1:15" ht="38.25">
      <c r="A248" s="107">
        <v>31</v>
      </c>
      <c r="B248" s="108" t="s">
        <v>86</v>
      </c>
      <c r="C248" s="109">
        <f t="shared" si="41"/>
        <v>2622</v>
      </c>
      <c r="D248" s="109"/>
      <c r="E248" s="109"/>
      <c r="F248" s="109"/>
      <c r="G248" s="109"/>
      <c r="H248" s="134">
        <v>2300</v>
      </c>
      <c r="I248" s="109"/>
      <c r="J248" s="109">
        <v>322</v>
      </c>
      <c r="K248" s="109"/>
      <c r="L248" s="109"/>
      <c r="M248" s="109"/>
      <c r="N248" s="109"/>
      <c r="O248" s="109"/>
    </row>
    <row r="249" spans="1:15" ht="25.5">
      <c r="A249" s="107">
        <v>32</v>
      </c>
      <c r="B249" s="108" t="s">
        <v>68</v>
      </c>
      <c r="C249" s="109">
        <f t="shared" si="41"/>
        <v>10421.24</v>
      </c>
      <c r="D249" s="109"/>
      <c r="E249" s="109"/>
      <c r="F249" s="109"/>
      <c r="G249" s="109"/>
      <c r="H249" s="109"/>
      <c r="I249" s="109"/>
      <c r="J249" s="109">
        <v>10421.24</v>
      </c>
      <c r="K249" s="109"/>
      <c r="L249" s="109"/>
      <c r="M249" s="109"/>
      <c r="N249" s="109"/>
      <c r="O249" s="109"/>
    </row>
    <row r="250" spans="1:15" ht="38.25">
      <c r="A250" s="107">
        <v>33</v>
      </c>
      <c r="B250" s="108" t="s">
        <v>81</v>
      </c>
      <c r="C250" s="109">
        <f t="shared" si="41"/>
        <v>60900</v>
      </c>
      <c r="D250" s="109"/>
      <c r="E250" s="109"/>
      <c r="F250" s="109"/>
      <c r="G250" s="109"/>
      <c r="H250" s="109"/>
      <c r="I250" s="109"/>
      <c r="J250" s="109"/>
      <c r="K250" s="109">
        <v>60900</v>
      </c>
      <c r="L250" s="109"/>
      <c r="M250" s="109"/>
      <c r="N250" s="109"/>
      <c r="O250" s="109"/>
    </row>
    <row r="251" spans="1:15" ht="25.5">
      <c r="A251" s="107">
        <v>34</v>
      </c>
      <c r="B251" s="108" t="s">
        <v>69</v>
      </c>
      <c r="C251" s="109">
        <f t="shared" si="41"/>
        <v>4389.5999999999985</v>
      </c>
      <c r="D251" s="109"/>
      <c r="E251" s="109"/>
      <c r="F251" s="109"/>
      <c r="G251" s="109"/>
      <c r="H251" s="109"/>
      <c r="I251" s="109"/>
      <c r="J251" s="109"/>
      <c r="K251" s="109"/>
      <c r="L251" s="109">
        <f>15115.8-10726.2</f>
        <v>4389.5999999999985</v>
      </c>
      <c r="M251" s="109"/>
      <c r="N251" s="109"/>
      <c r="O251" s="109"/>
    </row>
    <row r="252" spans="1:15" ht="25.5">
      <c r="A252" s="107">
        <v>35</v>
      </c>
      <c r="B252" s="108" t="s">
        <v>70</v>
      </c>
      <c r="C252" s="109">
        <f t="shared" si="41"/>
        <v>6125</v>
      </c>
      <c r="D252" s="109"/>
      <c r="E252" s="109"/>
      <c r="F252" s="109"/>
      <c r="G252" s="109"/>
      <c r="H252" s="109"/>
      <c r="I252" s="109"/>
      <c r="J252" s="109"/>
      <c r="K252" s="109"/>
      <c r="L252" s="109">
        <v>6125</v>
      </c>
      <c r="M252" s="109"/>
      <c r="N252" s="109"/>
      <c r="O252" s="109"/>
    </row>
    <row r="253" spans="1:15" ht="12.75">
      <c r="A253" s="107">
        <v>36</v>
      </c>
      <c r="B253" s="108" t="s">
        <v>87</v>
      </c>
      <c r="C253" s="109">
        <f t="shared" si="41"/>
        <v>10201.86</v>
      </c>
      <c r="D253" s="109">
        <f>SUM(D254:D255)</f>
        <v>0</v>
      </c>
      <c r="E253" s="109">
        <f aca="true" t="shared" si="49" ref="E253:O253">SUM(E254:E255)</f>
        <v>0</v>
      </c>
      <c r="F253" s="109">
        <f t="shared" si="49"/>
        <v>0</v>
      </c>
      <c r="G253" s="109">
        <f t="shared" si="49"/>
        <v>0</v>
      </c>
      <c r="H253" s="132">
        <f t="shared" si="49"/>
        <v>10201.86</v>
      </c>
      <c r="I253" s="109">
        <f t="shared" si="49"/>
        <v>0</v>
      </c>
      <c r="J253" s="109">
        <f t="shared" si="49"/>
        <v>0</v>
      </c>
      <c r="K253" s="109">
        <f t="shared" si="49"/>
        <v>0</v>
      </c>
      <c r="L253" s="109">
        <f t="shared" si="49"/>
        <v>0</v>
      </c>
      <c r="M253" s="109">
        <f t="shared" si="49"/>
        <v>0</v>
      </c>
      <c r="N253" s="109">
        <f t="shared" si="49"/>
        <v>0</v>
      </c>
      <c r="O253" s="109">
        <f t="shared" si="49"/>
        <v>0</v>
      </c>
    </row>
    <row r="254" spans="1:15" ht="25.5">
      <c r="A254" s="107"/>
      <c r="B254" s="131" t="s">
        <v>88</v>
      </c>
      <c r="C254" s="15">
        <f t="shared" si="41"/>
        <v>6508.26</v>
      </c>
      <c r="D254" s="109"/>
      <c r="E254" s="109"/>
      <c r="F254" s="109"/>
      <c r="G254" s="109"/>
      <c r="H254" s="13">
        <v>6508.26</v>
      </c>
      <c r="I254" s="109"/>
      <c r="J254" s="109"/>
      <c r="K254" s="109"/>
      <c r="L254" s="109"/>
      <c r="M254" s="109"/>
      <c r="N254" s="109"/>
      <c r="O254" s="109"/>
    </row>
    <row r="255" spans="1:15" ht="25.5">
      <c r="A255" s="107"/>
      <c r="B255" s="131" t="s">
        <v>89</v>
      </c>
      <c r="C255" s="15">
        <f t="shared" si="41"/>
        <v>3693.6</v>
      </c>
      <c r="D255" s="109"/>
      <c r="E255" s="109"/>
      <c r="F255" s="109"/>
      <c r="G255" s="109"/>
      <c r="H255" s="13">
        <v>3693.6</v>
      </c>
      <c r="I255" s="109"/>
      <c r="J255" s="109"/>
      <c r="K255" s="109"/>
      <c r="L255" s="109"/>
      <c r="M255" s="109"/>
      <c r="N255" s="109"/>
      <c r="O255" s="109"/>
    </row>
    <row r="256" spans="1:15" ht="12.75">
      <c r="A256" s="107">
        <v>37</v>
      </c>
      <c r="B256" s="108" t="s">
        <v>90</v>
      </c>
      <c r="C256" s="109">
        <f t="shared" si="41"/>
        <v>10482.3</v>
      </c>
      <c r="D256" s="109">
        <f>SUM(D257:D259)</f>
        <v>0</v>
      </c>
      <c r="E256" s="109">
        <f aca="true" t="shared" si="50" ref="E256:O256">SUM(E257:E259)</f>
        <v>0</v>
      </c>
      <c r="F256" s="109">
        <f t="shared" si="50"/>
        <v>0</v>
      </c>
      <c r="G256" s="109">
        <f t="shared" si="50"/>
        <v>0</v>
      </c>
      <c r="H256" s="132">
        <f t="shared" si="50"/>
        <v>0</v>
      </c>
      <c r="I256" s="132">
        <f t="shared" si="50"/>
        <v>9195</v>
      </c>
      <c r="J256" s="109">
        <f t="shared" si="50"/>
        <v>1287.3000000000002</v>
      </c>
      <c r="K256" s="109">
        <f t="shared" si="50"/>
        <v>0</v>
      </c>
      <c r="L256" s="109">
        <f t="shared" si="50"/>
        <v>0</v>
      </c>
      <c r="M256" s="109">
        <f t="shared" si="50"/>
        <v>0</v>
      </c>
      <c r="N256" s="109">
        <f t="shared" si="50"/>
        <v>0</v>
      </c>
      <c r="O256" s="109">
        <f t="shared" si="50"/>
        <v>0</v>
      </c>
    </row>
    <row r="257" spans="1:15" ht="25.5">
      <c r="A257" s="107"/>
      <c r="B257" s="131" t="s">
        <v>91</v>
      </c>
      <c r="C257" s="15">
        <f t="shared" si="41"/>
        <v>3930.7200000000003</v>
      </c>
      <c r="D257" s="15"/>
      <c r="E257" s="15"/>
      <c r="F257" s="15"/>
      <c r="G257" s="15"/>
      <c r="H257" s="16"/>
      <c r="I257" s="13">
        <v>3448</v>
      </c>
      <c r="J257" s="15">
        <v>482.72</v>
      </c>
      <c r="K257" s="15"/>
      <c r="L257" s="15"/>
      <c r="M257" s="15"/>
      <c r="N257" s="15"/>
      <c r="O257" s="15"/>
    </row>
    <row r="258" spans="1:15" ht="38.25">
      <c r="A258" s="107"/>
      <c r="B258" s="131" t="s">
        <v>92</v>
      </c>
      <c r="C258" s="15">
        <f aca="true" t="shared" si="51" ref="C258:C279">SUM(D258:O258)</f>
        <v>3930.7200000000003</v>
      </c>
      <c r="D258" s="15"/>
      <c r="E258" s="15"/>
      <c r="F258" s="15"/>
      <c r="G258" s="15"/>
      <c r="H258" s="15"/>
      <c r="I258" s="13">
        <v>3448</v>
      </c>
      <c r="J258" s="15">
        <v>482.72</v>
      </c>
      <c r="K258" s="15"/>
      <c r="L258" s="15"/>
      <c r="M258" s="15"/>
      <c r="N258" s="15"/>
      <c r="O258" s="15"/>
    </row>
    <row r="259" spans="1:15" ht="25.5">
      <c r="A259" s="107"/>
      <c r="B259" s="131" t="s">
        <v>93</v>
      </c>
      <c r="C259" s="15">
        <f t="shared" si="51"/>
        <v>2620.86</v>
      </c>
      <c r="D259" s="15"/>
      <c r="E259" s="15"/>
      <c r="F259" s="15"/>
      <c r="G259" s="15"/>
      <c r="H259" s="15"/>
      <c r="I259" s="13">
        <v>2299</v>
      </c>
      <c r="J259" s="15">
        <v>321.86</v>
      </c>
      <c r="K259" s="15"/>
      <c r="L259" s="15"/>
      <c r="M259" s="15"/>
      <c r="N259" s="15"/>
      <c r="O259" s="15"/>
    </row>
    <row r="260" spans="1:15" ht="25.5">
      <c r="A260" s="107">
        <v>38</v>
      </c>
      <c r="B260" s="108" t="s">
        <v>94</v>
      </c>
      <c r="C260" s="109">
        <f t="shared" si="51"/>
        <v>2620.86</v>
      </c>
      <c r="D260" s="109"/>
      <c r="E260" s="109"/>
      <c r="F260" s="109"/>
      <c r="G260" s="109"/>
      <c r="H260" s="109"/>
      <c r="I260" s="109"/>
      <c r="J260" s="109"/>
      <c r="K260" s="134">
        <f>2620.86-137.94</f>
        <v>2482.92</v>
      </c>
      <c r="L260" s="109">
        <v>137.94</v>
      </c>
      <c r="M260" s="109"/>
      <c r="N260" s="109"/>
      <c r="O260" s="109"/>
    </row>
    <row r="261" spans="1:15" ht="12.75">
      <c r="A261" s="107">
        <v>39</v>
      </c>
      <c r="B261" s="108" t="s">
        <v>95</v>
      </c>
      <c r="C261" s="109">
        <f t="shared" si="51"/>
        <v>18344.879999999997</v>
      </c>
      <c r="D261" s="109">
        <f>SUM(D262:D263)</f>
        <v>0</v>
      </c>
      <c r="E261" s="109">
        <f aca="true" t="shared" si="52" ref="E261:O261">SUM(E262:E263)</f>
        <v>0</v>
      </c>
      <c r="F261" s="109">
        <f t="shared" si="52"/>
        <v>0</v>
      </c>
      <c r="G261" s="109">
        <f t="shared" si="52"/>
        <v>0</v>
      </c>
      <c r="H261" s="109">
        <f t="shared" si="52"/>
        <v>0</v>
      </c>
      <c r="I261" s="109">
        <f t="shared" si="52"/>
        <v>0</v>
      </c>
      <c r="J261" s="109">
        <f t="shared" si="52"/>
        <v>0</v>
      </c>
      <c r="K261" s="109">
        <f t="shared" si="52"/>
        <v>0</v>
      </c>
      <c r="L261" s="132">
        <f t="shared" si="52"/>
        <v>10482.3</v>
      </c>
      <c r="M261" s="109">
        <f t="shared" si="52"/>
        <v>0</v>
      </c>
      <c r="N261" s="132">
        <f t="shared" si="52"/>
        <v>7862.58</v>
      </c>
      <c r="O261" s="109">
        <f t="shared" si="52"/>
        <v>0</v>
      </c>
    </row>
    <row r="262" spans="1:15" ht="25.5">
      <c r="A262" s="107"/>
      <c r="B262" s="131" t="s">
        <v>96</v>
      </c>
      <c r="C262" s="15">
        <f t="shared" si="51"/>
        <v>10482.3</v>
      </c>
      <c r="D262" s="15"/>
      <c r="E262" s="15"/>
      <c r="F262" s="15"/>
      <c r="G262" s="15"/>
      <c r="H262" s="15"/>
      <c r="I262" s="15"/>
      <c r="J262" s="15"/>
      <c r="K262" s="15"/>
      <c r="L262" s="13">
        <v>10482.3</v>
      </c>
      <c r="M262" s="15"/>
      <c r="N262" s="15"/>
      <c r="O262" s="15"/>
    </row>
    <row r="263" spans="1:15" ht="38.25">
      <c r="A263" s="107"/>
      <c r="B263" s="131" t="s">
        <v>97</v>
      </c>
      <c r="C263" s="15">
        <f t="shared" si="51"/>
        <v>7862.58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3">
        <v>7862.58</v>
      </c>
      <c r="O263" s="15"/>
    </row>
    <row r="264" spans="1:15" ht="13.5" customHeight="1">
      <c r="A264" s="107">
        <v>40</v>
      </c>
      <c r="B264" s="108" t="s">
        <v>84</v>
      </c>
      <c r="C264" s="109">
        <f t="shared" si="51"/>
        <v>100438.45000000001</v>
      </c>
      <c r="D264" s="109">
        <f>SUM(D265:D279)</f>
        <v>0</v>
      </c>
      <c r="E264" s="109">
        <f aca="true" t="shared" si="53" ref="E264:O264">SUM(E265:E279)</f>
        <v>0</v>
      </c>
      <c r="F264" s="109">
        <f t="shared" si="53"/>
        <v>0</v>
      </c>
      <c r="G264" s="109">
        <f t="shared" si="53"/>
        <v>0</v>
      </c>
      <c r="H264" s="109">
        <f t="shared" si="53"/>
        <v>14</v>
      </c>
      <c r="I264" s="109">
        <f t="shared" si="53"/>
        <v>27367.06</v>
      </c>
      <c r="J264" s="109">
        <f t="shared" si="53"/>
        <v>0</v>
      </c>
      <c r="K264" s="109">
        <f t="shared" si="53"/>
        <v>0</v>
      </c>
      <c r="L264" s="109">
        <f t="shared" si="53"/>
        <v>25844.98</v>
      </c>
      <c r="M264" s="109">
        <f t="shared" si="53"/>
        <v>0</v>
      </c>
      <c r="N264" s="109">
        <f t="shared" si="53"/>
        <v>0</v>
      </c>
      <c r="O264" s="109">
        <f t="shared" si="53"/>
        <v>47212.41</v>
      </c>
    </row>
    <row r="265" spans="1:15" ht="12.75">
      <c r="A265" s="107"/>
      <c r="B265" s="131" t="s">
        <v>100</v>
      </c>
      <c r="C265" s="15">
        <f t="shared" si="51"/>
        <v>5460.73</v>
      </c>
      <c r="D265" s="15"/>
      <c r="E265" s="15"/>
      <c r="F265" s="15"/>
      <c r="G265" s="15"/>
      <c r="H265" s="15"/>
      <c r="I265" s="15"/>
      <c r="J265" s="15"/>
      <c r="K265" s="15"/>
      <c r="L265" s="15">
        <v>5375.5</v>
      </c>
      <c r="M265" s="15"/>
      <c r="N265" s="15"/>
      <c r="O265" s="15">
        <v>85.22999999999999</v>
      </c>
    </row>
    <row r="266" spans="1:15" ht="12.75">
      <c r="A266" s="107"/>
      <c r="B266" s="131" t="s">
        <v>101</v>
      </c>
      <c r="C266" s="15">
        <f t="shared" si="51"/>
        <v>4403.64</v>
      </c>
      <c r="D266" s="15"/>
      <c r="E266" s="15"/>
      <c r="F266" s="15"/>
      <c r="G266" s="15"/>
      <c r="H266" s="15"/>
      <c r="I266" s="15">
        <v>2163.5</v>
      </c>
      <c r="J266" s="15"/>
      <c r="K266" s="15"/>
      <c r="L266" s="15">
        <v>1700.0400000000002</v>
      </c>
      <c r="M266" s="15"/>
      <c r="N266" s="15"/>
      <c r="O266" s="15">
        <v>540.1</v>
      </c>
    </row>
    <row r="267" spans="1:15" ht="12.75">
      <c r="A267" s="107"/>
      <c r="B267" s="131" t="s">
        <v>102</v>
      </c>
      <c r="C267" s="15">
        <f t="shared" si="51"/>
        <v>700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>
        <v>700</v>
      </c>
    </row>
    <row r="268" spans="1:15" ht="12.75">
      <c r="A268" s="107"/>
      <c r="B268" s="131" t="s">
        <v>108</v>
      </c>
      <c r="C268" s="15">
        <f t="shared" si="51"/>
        <v>380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>
        <v>380</v>
      </c>
    </row>
    <row r="269" spans="1:15" ht="12.75">
      <c r="A269" s="107"/>
      <c r="B269" s="131" t="s">
        <v>109</v>
      </c>
      <c r="C269" s="15">
        <f t="shared" si="51"/>
        <v>7718.2</v>
      </c>
      <c r="D269" s="15"/>
      <c r="E269" s="15"/>
      <c r="F269" s="15"/>
      <c r="G269" s="15"/>
      <c r="H269" s="15"/>
      <c r="I269" s="15">
        <v>5218.2</v>
      </c>
      <c r="J269" s="15"/>
      <c r="K269" s="15"/>
      <c r="L269" s="15">
        <v>2500</v>
      </c>
      <c r="M269" s="15"/>
      <c r="N269" s="15"/>
      <c r="O269" s="15"/>
    </row>
    <row r="270" spans="1:15" ht="12.75">
      <c r="A270" s="107"/>
      <c r="B270" s="131" t="s">
        <v>103</v>
      </c>
      <c r="C270" s="15">
        <f t="shared" si="51"/>
        <v>523</v>
      </c>
      <c r="D270" s="15"/>
      <c r="E270" s="15"/>
      <c r="F270" s="15"/>
      <c r="G270" s="15"/>
      <c r="H270" s="15"/>
      <c r="I270" s="15">
        <v>523</v>
      </c>
      <c r="J270" s="15"/>
      <c r="K270" s="15"/>
      <c r="L270" s="15"/>
      <c r="M270" s="15"/>
      <c r="N270" s="15"/>
      <c r="O270" s="15"/>
    </row>
    <row r="271" spans="1:15" ht="12.75">
      <c r="A271" s="107"/>
      <c r="B271" s="131" t="s">
        <v>104</v>
      </c>
      <c r="C271" s="15">
        <f t="shared" si="51"/>
        <v>18741.879999999997</v>
      </c>
      <c r="D271" s="15"/>
      <c r="E271" s="15"/>
      <c r="F271" s="15"/>
      <c r="G271" s="15"/>
      <c r="H271" s="15">
        <v>14</v>
      </c>
      <c r="I271" s="15">
        <v>10824</v>
      </c>
      <c r="J271" s="15"/>
      <c r="K271" s="15"/>
      <c r="L271" s="15">
        <f>2915.8+36</f>
        <v>2951.8</v>
      </c>
      <c r="M271" s="15"/>
      <c r="N271" s="15"/>
      <c r="O271" s="15">
        <v>4952.08</v>
      </c>
    </row>
    <row r="272" spans="1:15" ht="25.5">
      <c r="A272" s="107"/>
      <c r="B272" s="131" t="s">
        <v>105</v>
      </c>
      <c r="C272" s="15">
        <f t="shared" si="51"/>
        <v>6392.49</v>
      </c>
      <c r="D272" s="15"/>
      <c r="E272" s="15"/>
      <c r="F272" s="15"/>
      <c r="G272" s="15"/>
      <c r="H272" s="15"/>
      <c r="I272" s="15">
        <v>5932.49</v>
      </c>
      <c r="J272" s="15"/>
      <c r="K272" s="15"/>
      <c r="L272" s="15">
        <v>460</v>
      </c>
      <c r="M272" s="15"/>
      <c r="N272" s="15"/>
      <c r="O272" s="15"/>
    </row>
    <row r="273" spans="1:15" ht="12.75">
      <c r="A273" s="107"/>
      <c r="B273" s="131" t="s">
        <v>106</v>
      </c>
      <c r="C273" s="15">
        <f t="shared" si="51"/>
        <v>2387.67</v>
      </c>
      <c r="D273" s="15"/>
      <c r="E273" s="15"/>
      <c r="F273" s="15"/>
      <c r="G273" s="15"/>
      <c r="H273" s="15"/>
      <c r="I273" s="15">
        <v>2387.67</v>
      </c>
      <c r="J273" s="15"/>
      <c r="K273" s="15"/>
      <c r="L273" s="15"/>
      <c r="M273" s="15"/>
      <c r="N273" s="15"/>
      <c r="O273" s="15"/>
    </row>
    <row r="274" spans="1:15" ht="12.75">
      <c r="A274" s="107"/>
      <c r="B274" s="131" t="s">
        <v>107</v>
      </c>
      <c r="C274" s="15">
        <f t="shared" si="51"/>
        <v>2169.39</v>
      </c>
      <c r="D274" s="15"/>
      <c r="E274" s="15"/>
      <c r="F274" s="15"/>
      <c r="G274" s="15"/>
      <c r="H274" s="15"/>
      <c r="I274" s="15"/>
      <c r="J274" s="15"/>
      <c r="K274" s="15"/>
      <c r="L274" s="15">
        <v>2169.39</v>
      </c>
      <c r="M274" s="15"/>
      <c r="N274" s="15"/>
      <c r="O274" s="15"/>
    </row>
    <row r="275" spans="1:15" ht="12.75">
      <c r="A275" s="107"/>
      <c r="B275" s="131" t="s">
        <v>110</v>
      </c>
      <c r="C275" s="15">
        <f t="shared" si="51"/>
        <v>6770</v>
      </c>
      <c r="D275" s="15"/>
      <c r="E275" s="15"/>
      <c r="F275" s="15"/>
      <c r="G275" s="15"/>
      <c r="H275" s="15"/>
      <c r="I275" s="15"/>
      <c r="J275" s="15"/>
      <c r="K275" s="15"/>
      <c r="L275" s="15">
        <v>2000</v>
      </c>
      <c r="M275" s="15"/>
      <c r="N275" s="15"/>
      <c r="O275" s="15">
        <v>4770</v>
      </c>
    </row>
    <row r="276" spans="1:15" ht="12.75">
      <c r="A276" s="107"/>
      <c r="B276" s="131" t="s">
        <v>113</v>
      </c>
      <c r="C276" s="15">
        <f t="shared" si="51"/>
        <v>34585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>
        <v>34585</v>
      </c>
    </row>
    <row r="277" spans="1:15" ht="12.75">
      <c r="A277" s="107"/>
      <c r="B277" s="131" t="s">
        <v>111</v>
      </c>
      <c r="C277" s="15">
        <f t="shared" si="51"/>
        <v>318.2</v>
      </c>
      <c r="D277" s="15"/>
      <c r="E277" s="15"/>
      <c r="F277" s="15"/>
      <c r="G277" s="15"/>
      <c r="H277" s="15"/>
      <c r="I277" s="15">
        <v>318.2</v>
      </c>
      <c r="J277" s="15"/>
      <c r="K277" s="15"/>
      <c r="L277" s="15"/>
      <c r="M277" s="15"/>
      <c r="N277" s="15"/>
      <c r="O277" s="15"/>
    </row>
    <row r="278" spans="1:15" ht="12.75">
      <c r="A278" s="107"/>
      <c r="B278" s="131" t="s">
        <v>118</v>
      </c>
      <c r="C278" s="15">
        <f t="shared" si="51"/>
        <v>2400</v>
      </c>
      <c r="D278" s="15"/>
      <c r="E278" s="15"/>
      <c r="F278" s="15"/>
      <c r="G278" s="15"/>
      <c r="H278" s="15"/>
      <c r="I278" s="15"/>
      <c r="J278" s="15"/>
      <c r="K278" s="15"/>
      <c r="L278" s="15">
        <v>1200</v>
      </c>
      <c r="M278" s="15"/>
      <c r="N278" s="15"/>
      <c r="O278" s="15">
        <v>1200</v>
      </c>
    </row>
    <row r="279" spans="1:15" ht="12.75">
      <c r="A279" s="107"/>
      <c r="B279" s="131" t="s">
        <v>141</v>
      </c>
      <c r="C279" s="15">
        <f t="shared" si="51"/>
        <v>7488.25</v>
      </c>
      <c r="D279" s="15"/>
      <c r="E279" s="15"/>
      <c r="F279" s="15"/>
      <c r="G279" s="15"/>
      <c r="H279" s="15"/>
      <c r="I279" s="15"/>
      <c r="J279" s="15"/>
      <c r="K279" s="15"/>
      <c r="L279" s="15">
        <v>7488.25</v>
      </c>
      <c r="M279" s="15"/>
      <c r="N279" s="15"/>
      <c r="O279" s="15"/>
    </row>
    <row r="280" spans="1:15" ht="12.75">
      <c r="A280" s="107">
        <v>41</v>
      </c>
      <c r="B280" s="108" t="s">
        <v>125</v>
      </c>
      <c r="C280" s="109">
        <f aca="true" t="shared" si="54" ref="C280:C285">SUM(D280:O280)</f>
        <v>8239</v>
      </c>
      <c r="D280" s="109"/>
      <c r="E280" s="109"/>
      <c r="F280" s="109"/>
      <c r="G280" s="109"/>
      <c r="H280" s="109">
        <v>2001</v>
      </c>
      <c r="I280" s="109"/>
      <c r="J280" s="109"/>
      <c r="K280" s="109"/>
      <c r="L280" s="109"/>
      <c r="M280" s="109"/>
      <c r="N280" s="109"/>
      <c r="O280" s="109">
        <f>1238+5000</f>
        <v>6238</v>
      </c>
    </row>
    <row r="281" spans="1:15" ht="12.75">
      <c r="A281" s="107">
        <v>42</v>
      </c>
      <c r="B281" s="108" t="s">
        <v>112</v>
      </c>
      <c r="C281" s="109">
        <f t="shared" si="54"/>
        <v>16600</v>
      </c>
      <c r="D281" s="109"/>
      <c r="E281" s="109"/>
      <c r="F281" s="109"/>
      <c r="G281" s="109">
        <v>4000</v>
      </c>
      <c r="H281" s="109"/>
      <c r="I281" s="109"/>
      <c r="J281" s="109">
        <v>4100</v>
      </c>
      <c r="K281" s="109"/>
      <c r="L281" s="109"/>
      <c r="M281" s="109">
        <v>8500</v>
      </c>
      <c r="N281" s="109"/>
      <c r="O281" s="109"/>
    </row>
    <row r="282" spans="1:15" ht="12.75">
      <c r="A282" s="107">
        <v>43</v>
      </c>
      <c r="B282" s="108" t="s">
        <v>72</v>
      </c>
      <c r="C282" s="109">
        <f t="shared" si="54"/>
        <v>168799.17</v>
      </c>
      <c r="D282" s="109"/>
      <c r="E282" s="109"/>
      <c r="F282" s="109"/>
      <c r="G282" s="109">
        <v>33505.88</v>
      </c>
      <c r="H282" s="109"/>
      <c r="I282" s="109">
        <v>33505.88</v>
      </c>
      <c r="J282" s="109"/>
      <c r="K282" s="109"/>
      <c r="L282" s="109">
        <f>11098.79+33505.88</f>
        <v>44604.67</v>
      </c>
      <c r="M282" s="109">
        <f>9454.58+33505.88</f>
        <v>42960.46</v>
      </c>
      <c r="N282" s="109">
        <v>7111.14</v>
      </c>
      <c r="O282" s="109">
        <v>7111.14</v>
      </c>
    </row>
    <row r="283" spans="1:15" ht="12.75">
      <c r="A283" s="107">
        <v>44</v>
      </c>
      <c r="B283" s="108" t="s">
        <v>73</v>
      </c>
      <c r="C283" s="109">
        <f t="shared" si="54"/>
        <v>458257.11000000004</v>
      </c>
      <c r="D283" s="109"/>
      <c r="E283" s="109"/>
      <c r="F283" s="109"/>
      <c r="G283" s="109">
        <v>57486.04</v>
      </c>
      <c r="H283" s="109">
        <v>57486.04</v>
      </c>
      <c r="I283" s="109"/>
      <c r="J283" s="109">
        <f>50937.65+53425.1</f>
        <v>104362.75</v>
      </c>
      <c r="K283" s="109">
        <v>33726.76</v>
      </c>
      <c r="L283" s="109">
        <v>6186.88</v>
      </c>
      <c r="M283" s="109">
        <f>42414.52+52089.92+50000</f>
        <v>144504.44</v>
      </c>
      <c r="N283" s="109">
        <v>54504.2</v>
      </c>
      <c r="O283" s="109"/>
    </row>
    <row r="284" spans="1:15" ht="12.75">
      <c r="A284" s="107">
        <v>45</v>
      </c>
      <c r="B284" s="108" t="s">
        <v>74</v>
      </c>
      <c r="C284" s="109">
        <f t="shared" si="54"/>
        <v>1083743.64</v>
      </c>
      <c r="D284" s="109"/>
      <c r="E284" s="109"/>
      <c r="F284" s="109">
        <v>80000</v>
      </c>
      <c r="G284" s="109">
        <v>122899.72</v>
      </c>
      <c r="H284" s="109">
        <f>72605.99+26225.69+5624.45</f>
        <v>104456.13</v>
      </c>
      <c r="I284" s="109">
        <v>205528.11</v>
      </c>
      <c r="J284" s="109">
        <f>28566.43</f>
        <v>28566.43</v>
      </c>
      <c r="K284" s="109">
        <v>183169.22</v>
      </c>
      <c r="L284" s="109">
        <f>88636.72+18032.39</f>
        <v>106669.11</v>
      </c>
      <c r="M284" s="109">
        <v>48759.1</v>
      </c>
      <c r="N284" s="109">
        <v>0</v>
      </c>
      <c r="O284" s="109">
        <v>203695.82</v>
      </c>
    </row>
    <row r="285" spans="1:15" ht="12.75">
      <c r="A285" s="107">
        <v>46</v>
      </c>
      <c r="B285" s="108" t="s">
        <v>75</v>
      </c>
      <c r="C285" s="109">
        <f t="shared" si="54"/>
        <v>1638571.8900000001</v>
      </c>
      <c r="D285" s="109"/>
      <c r="E285" s="109"/>
      <c r="F285" s="109"/>
      <c r="G285" s="109">
        <v>186108.36</v>
      </c>
      <c r="H285" s="109">
        <v>202357.82</v>
      </c>
      <c r="I285" s="109"/>
      <c r="J285" s="109">
        <v>170458.82</v>
      </c>
      <c r="K285" s="109">
        <v>141677.88</v>
      </c>
      <c r="L285" s="109">
        <f>28196.13+36464.43</f>
        <v>64660.56</v>
      </c>
      <c r="M285" s="109">
        <v>230000</v>
      </c>
      <c r="N285" s="109">
        <v>439609.64</v>
      </c>
      <c r="O285" s="109">
        <v>203698.81</v>
      </c>
    </row>
    <row r="286" spans="3:15" ht="12.75">
      <c r="C286" s="100">
        <f aca="true" t="shared" si="55" ref="C286:O286">SUMIF($A$189:$A$285,"&lt;&gt;",C189:C285)</f>
        <v>5903576.049999999</v>
      </c>
      <c r="D286" s="100">
        <f t="shared" si="55"/>
        <v>0</v>
      </c>
      <c r="E286" s="100">
        <f t="shared" si="55"/>
        <v>1100</v>
      </c>
      <c r="F286" s="100">
        <f t="shared" si="55"/>
        <v>427565.02</v>
      </c>
      <c r="G286" s="100">
        <f t="shared" si="55"/>
        <v>482859.22</v>
      </c>
      <c r="H286" s="100">
        <f t="shared" si="55"/>
        <v>514220.46</v>
      </c>
      <c r="I286" s="100">
        <f t="shared" si="55"/>
        <v>586407.27</v>
      </c>
      <c r="J286" s="100">
        <f t="shared" si="55"/>
        <v>689368.5800000001</v>
      </c>
      <c r="K286" s="100">
        <f t="shared" si="55"/>
        <v>575225.04</v>
      </c>
      <c r="L286" s="100">
        <f t="shared" si="55"/>
        <v>467620.61</v>
      </c>
      <c r="M286" s="100">
        <f t="shared" si="55"/>
        <v>753435.1799999999</v>
      </c>
      <c r="N286" s="100">
        <f t="shared" si="55"/>
        <v>697423.98</v>
      </c>
      <c r="O286" s="100">
        <f t="shared" si="55"/>
        <v>708350.6900000001</v>
      </c>
    </row>
    <row r="287" spans="2:8" ht="12.75">
      <c r="B287" s="111" t="s">
        <v>315</v>
      </c>
      <c r="G287" s="14">
        <f>1825-5000</f>
        <v>-3175</v>
      </c>
      <c r="H287" s="14">
        <v>-5000</v>
      </c>
    </row>
    <row r="288" spans="7:13" ht="12.75">
      <c r="G288" s="14">
        <f>G286-G287</f>
        <v>486034.22</v>
      </c>
      <c r="H288" s="14">
        <f>H286+H287</f>
        <v>509220.46</v>
      </c>
      <c r="I288" s="148" t="s">
        <v>317</v>
      </c>
      <c r="J288" s="148"/>
      <c r="K288" s="148"/>
      <c r="L288" s="14">
        <v>10726.2</v>
      </c>
      <c r="M288" s="14">
        <v>3500.0000000001164</v>
      </c>
    </row>
    <row r="289" spans="2:15" ht="12.75">
      <c r="B289" s="110" t="s">
        <v>318</v>
      </c>
      <c r="C289" s="100">
        <f>SUM(E289:O289)</f>
        <v>5914877.25</v>
      </c>
      <c r="E289" s="14"/>
      <c r="F289" s="14">
        <f>F286</f>
        <v>427565.02</v>
      </c>
      <c r="G289" s="14">
        <v>486034.22</v>
      </c>
      <c r="H289" s="14">
        <v>509220.46</v>
      </c>
      <c r="I289" s="14">
        <v>586407.27</v>
      </c>
      <c r="J289" s="14">
        <v>689368.58</v>
      </c>
      <c r="K289" s="14">
        <v>575225.04</v>
      </c>
      <c r="L289" s="14">
        <v>478346.81</v>
      </c>
      <c r="M289" s="14">
        <v>756935.18</v>
      </c>
      <c r="N289" s="14">
        <v>697422.98</v>
      </c>
      <c r="O289" s="14">
        <v>708351.69</v>
      </c>
    </row>
    <row r="290" spans="2:16" ht="12.75">
      <c r="B290" s="110" t="s">
        <v>316</v>
      </c>
      <c r="G290" s="14">
        <f>G288-G289</f>
        <v>0</v>
      </c>
      <c r="H290" s="14">
        <f>H288-H289</f>
        <v>0</v>
      </c>
      <c r="I290" s="14">
        <f aca="true" t="shared" si="56" ref="I290:O290">I289-I286</f>
        <v>0</v>
      </c>
      <c r="J290" s="14">
        <f t="shared" si="56"/>
        <v>0</v>
      </c>
      <c r="K290" s="14">
        <f t="shared" si="56"/>
        <v>0</v>
      </c>
      <c r="L290" s="14">
        <f>L289-L288-L286</f>
        <v>0</v>
      </c>
      <c r="M290" s="14">
        <f>M289-M288-M286</f>
        <v>0</v>
      </c>
      <c r="N290" s="14">
        <f t="shared" si="56"/>
        <v>-1</v>
      </c>
      <c r="O290" s="14">
        <f t="shared" si="56"/>
        <v>0.9999999998835847</v>
      </c>
      <c r="P290" s="14"/>
    </row>
    <row r="291" ht="12.75">
      <c r="J291" s="14"/>
    </row>
    <row r="292" spans="7:14" ht="15">
      <c r="G292" s="14"/>
      <c r="H292" s="14"/>
      <c r="I292" s="14"/>
      <c r="J292" s="14"/>
      <c r="K292" s="14"/>
      <c r="L292" s="137"/>
      <c r="M292" s="14"/>
      <c r="N292" s="14"/>
    </row>
    <row r="293" spans="7:14" ht="12.75">
      <c r="G293" s="14"/>
      <c r="H293" s="14"/>
      <c r="I293" s="14"/>
      <c r="J293" s="14"/>
      <c r="K293" s="14"/>
      <c r="L293" s="14"/>
      <c r="M293" s="14"/>
      <c r="N293" s="14"/>
    </row>
    <row r="294" spans="7:14" ht="12.75">
      <c r="G294" s="14"/>
      <c r="H294" s="14"/>
      <c r="I294" s="14"/>
      <c r="J294" s="14"/>
      <c r="K294" s="14"/>
      <c r="L294" s="14"/>
      <c r="M294" s="14"/>
      <c r="N294" s="14"/>
    </row>
    <row r="295" spans="7:14" ht="12.75">
      <c r="G295" s="14"/>
      <c r="H295" s="14"/>
      <c r="I295" s="14"/>
      <c r="J295" s="14"/>
      <c r="K295" s="14"/>
      <c r="L295" s="14"/>
      <c r="M295" s="14"/>
      <c r="N295" s="14"/>
    </row>
    <row r="296" spans="7:14" ht="12.75">
      <c r="G296" s="14"/>
      <c r="H296" s="14"/>
      <c r="I296" s="14"/>
      <c r="J296" s="14"/>
      <c r="K296" s="14"/>
      <c r="L296" s="14"/>
      <c r="M296" s="14"/>
      <c r="N296" s="14"/>
    </row>
    <row r="297" spans="7:14" ht="12.75">
      <c r="G297" s="14"/>
      <c r="H297" s="14"/>
      <c r="I297" s="14"/>
      <c r="J297" s="14"/>
      <c r="K297" s="14"/>
      <c r="L297" s="14"/>
      <c r="M297" s="14"/>
      <c r="N297" s="14"/>
    </row>
    <row r="298" spans="7:14" ht="12.75">
      <c r="G298" s="14"/>
      <c r="H298" s="14"/>
      <c r="I298" s="14"/>
      <c r="J298" s="14"/>
      <c r="K298" s="14"/>
      <c r="L298" s="14"/>
      <c r="M298" s="14"/>
      <c r="N298" s="14"/>
    </row>
    <row r="299" spans="7:14" ht="12.75">
      <c r="G299" s="14"/>
      <c r="H299" s="14"/>
      <c r="I299" s="14"/>
      <c r="J299" s="14"/>
      <c r="K299" s="14"/>
      <c r="L299" s="14"/>
      <c r="M299" s="14"/>
      <c r="N299" s="14"/>
    </row>
    <row r="300" spans="8:14" ht="12.75">
      <c r="H300" s="14"/>
      <c r="I300" s="14"/>
      <c r="J300" s="14"/>
      <c r="K300" s="14"/>
      <c r="L300" s="14"/>
      <c r="M300" s="14"/>
      <c r="N300" s="14"/>
    </row>
    <row r="301" spans="8:14" ht="12.75">
      <c r="H301" s="14"/>
      <c r="I301" s="14"/>
      <c r="J301" s="14"/>
      <c r="K301" s="14"/>
      <c r="L301" s="14"/>
      <c r="M301" s="14"/>
      <c r="N301" s="14"/>
    </row>
    <row r="302" spans="8:14" ht="12.75">
      <c r="H302" s="14"/>
      <c r="J302" s="14"/>
      <c r="K302" s="14"/>
      <c r="L302" s="14"/>
      <c r="M302" s="14"/>
      <c r="N302" s="14"/>
    </row>
    <row r="303" spans="8:14" ht="12.75">
      <c r="H303" s="14"/>
      <c r="I303" s="14"/>
      <c r="J303" s="14"/>
      <c r="K303" s="14"/>
      <c r="L303" s="14"/>
      <c r="M303" s="14"/>
      <c r="N303" s="14"/>
    </row>
    <row r="304" spans="8:14" ht="12.75">
      <c r="H304" s="14"/>
      <c r="J304" s="14"/>
      <c r="K304" s="14"/>
      <c r="L304" s="14"/>
      <c r="M304" s="14"/>
      <c r="N304" s="14"/>
    </row>
  </sheetData>
  <sheetProtection/>
  <mergeCells count="1">
    <mergeCell ref="I288:K288"/>
  </mergeCells>
  <printOptions/>
  <pageMargins left="0.31496062992125984" right="0.31496062992125984" top="0.35433070866141736" bottom="0.35433070866141736" header="0.31496062992125984" footer="0.31496062992125984"/>
  <pageSetup fitToHeight="10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7.28125" style="0" customWidth="1"/>
  </cols>
  <sheetData>
    <row r="2" spans="1:14" ht="15">
      <c r="A2" s="1" t="s">
        <v>127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5">
      <c r="A3" s="9" t="s">
        <v>128</v>
      </c>
      <c r="B3" s="4">
        <f aca="true" t="shared" si="0" ref="B3:B13">SUM(C3:N3)</f>
        <v>8000</v>
      </c>
      <c r="C3" s="5"/>
      <c r="D3" s="5"/>
      <c r="E3" s="5"/>
      <c r="F3" s="5"/>
      <c r="G3" s="5">
        <v>1000</v>
      </c>
      <c r="H3" s="5">
        <v>1000</v>
      </c>
      <c r="I3" s="5">
        <v>1000</v>
      </c>
      <c r="J3" s="5">
        <v>1000</v>
      </c>
      <c r="K3" s="5">
        <v>1000</v>
      </c>
      <c r="L3" s="5">
        <v>1000</v>
      </c>
      <c r="M3" s="5">
        <v>1000</v>
      </c>
      <c r="N3" s="5">
        <v>1000</v>
      </c>
    </row>
    <row r="4" spans="1:14" ht="15">
      <c r="A4" s="9" t="s">
        <v>133</v>
      </c>
      <c r="B4" s="4">
        <f t="shared" si="0"/>
        <v>8000</v>
      </c>
      <c r="C4" s="5"/>
      <c r="D4" s="5"/>
      <c r="E4" s="5"/>
      <c r="F4" s="5"/>
      <c r="G4" s="5">
        <v>1000</v>
      </c>
      <c r="H4" s="5">
        <v>1000</v>
      </c>
      <c r="I4" s="5">
        <v>1000</v>
      </c>
      <c r="J4" s="5">
        <v>1000</v>
      </c>
      <c r="K4" s="5">
        <v>1000</v>
      </c>
      <c r="L4" s="5">
        <v>1000</v>
      </c>
      <c r="M4" s="5">
        <v>1000</v>
      </c>
      <c r="N4" s="5">
        <v>1000</v>
      </c>
    </row>
    <row r="5" spans="1:14" ht="15">
      <c r="A5" s="9" t="s">
        <v>129</v>
      </c>
      <c r="B5" s="4">
        <f t="shared" si="0"/>
        <v>16000</v>
      </c>
      <c r="C5" s="5"/>
      <c r="D5" s="5"/>
      <c r="E5" s="5"/>
      <c r="F5" s="5"/>
      <c r="G5" s="5">
        <v>2000</v>
      </c>
      <c r="H5" s="5">
        <v>2000</v>
      </c>
      <c r="I5" s="5">
        <v>2000</v>
      </c>
      <c r="J5" s="5">
        <v>2000</v>
      </c>
      <c r="K5" s="5">
        <v>2000</v>
      </c>
      <c r="L5" s="5">
        <v>2000</v>
      </c>
      <c r="M5" s="5">
        <v>2000</v>
      </c>
      <c r="N5" s="5">
        <v>2000</v>
      </c>
    </row>
    <row r="6" spans="1:14" ht="15">
      <c r="A6" s="9" t="s">
        <v>130</v>
      </c>
      <c r="B6" s="4">
        <f t="shared" si="0"/>
        <v>8000</v>
      </c>
      <c r="C6" s="5"/>
      <c r="D6" s="5"/>
      <c r="E6" s="5"/>
      <c r="F6" s="5"/>
      <c r="G6" s="5">
        <v>1000</v>
      </c>
      <c r="H6" s="5">
        <v>1000</v>
      </c>
      <c r="I6" s="5">
        <v>1000</v>
      </c>
      <c r="J6" s="5">
        <v>1000</v>
      </c>
      <c r="K6" s="5">
        <v>1000</v>
      </c>
      <c r="L6" s="5">
        <v>1000</v>
      </c>
      <c r="M6" s="5">
        <v>1000</v>
      </c>
      <c r="N6" s="5">
        <v>1000</v>
      </c>
    </row>
    <row r="7" spans="1:14" ht="15">
      <c r="A7" s="9" t="s">
        <v>131</v>
      </c>
      <c r="B7" s="4">
        <f t="shared" si="0"/>
        <v>12000</v>
      </c>
      <c r="C7" s="5">
        <v>1000</v>
      </c>
      <c r="D7" s="5">
        <v>1000</v>
      </c>
      <c r="E7" s="5">
        <v>1000</v>
      </c>
      <c r="F7" s="5">
        <v>1000</v>
      </c>
      <c r="G7" s="5">
        <v>1000</v>
      </c>
      <c r="H7" s="5">
        <v>1000</v>
      </c>
      <c r="I7" s="5">
        <v>1000</v>
      </c>
      <c r="J7" s="5">
        <v>1000</v>
      </c>
      <c r="K7" s="5">
        <v>1000</v>
      </c>
      <c r="L7" s="5">
        <v>1000</v>
      </c>
      <c r="M7" s="5">
        <v>1000</v>
      </c>
      <c r="N7" s="5">
        <v>1000</v>
      </c>
    </row>
    <row r="8" spans="1:14" ht="15">
      <c r="A8" s="9" t="s">
        <v>132</v>
      </c>
      <c r="B8" s="4">
        <f t="shared" si="0"/>
        <v>12000</v>
      </c>
      <c r="C8" s="5"/>
      <c r="D8" s="5"/>
      <c r="E8" s="5"/>
      <c r="F8" s="5"/>
      <c r="G8" s="5">
        <v>1500</v>
      </c>
      <c r="H8" s="5">
        <v>1500</v>
      </c>
      <c r="I8" s="5">
        <v>1500</v>
      </c>
      <c r="J8" s="5">
        <v>1500</v>
      </c>
      <c r="K8" s="5">
        <v>1500</v>
      </c>
      <c r="L8" s="5">
        <v>1500</v>
      </c>
      <c r="M8" s="5">
        <v>1500</v>
      </c>
      <c r="N8" s="5">
        <v>1500</v>
      </c>
    </row>
    <row r="9" spans="1:14" ht="15">
      <c r="A9" s="9" t="s">
        <v>134</v>
      </c>
      <c r="B9" s="4">
        <f t="shared" si="0"/>
        <v>3000</v>
      </c>
      <c r="C9" s="5"/>
      <c r="D9" s="5"/>
      <c r="E9" s="5"/>
      <c r="F9" s="5"/>
      <c r="G9" s="5"/>
      <c r="H9" s="5"/>
      <c r="I9" s="5">
        <v>500</v>
      </c>
      <c r="J9" s="5">
        <v>500</v>
      </c>
      <c r="K9" s="5">
        <v>500</v>
      </c>
      <c r="L9" s="5">
        <v>500</v>
      </c>
      <c r="M9" s="5">
        <v>500</v>
      </c>
      <c r="N9" s="5">
        <v>500</v>
      </c>
    </row>
    <row r="10" spans="1:14" ht="26.25">
      <c r="A10" s="9" t="s">
        <v>135</v>
      </c>
      <c r="B10" s="4">
        <f t="shared" si="0"/>
        <v>8000</v>
      </c>
      <c r="C10" s="5"/>
      <c r="D10" s="5"/>
      <c r="E10" s="5"/>
      <c r="F10" s="5"/>
      <c r="G10" s="5">
        <v>1000</v>
      </c>
      <c r="H10" s="5">
        <v>1000</v>
      </c>
      <c r="I10" s="5">
        <v>1000</v>
      </c>
      <c r="J10" s="5">
        <v>1000</v>
      </c>
      <c r="K10" s="5">
        <v>1000</v>
      </c>
      <c r="L10" s="5">
        <v>1000</v>
      </c>
      <c r="M10" s="5">
        <v>1000</v>
      </c>
      <c r="N10" s="5">
        <v>1000</v>
      </c>
    </row>
    <row r="11" spans="1:14" ht="26.25">
      <c r="A11" s="9" t="s">
        <v>136</v>
      </c>
      <c r="B11" s="4">
        <f t="shared" si="0"/>
        <v>8000</v>
      </c>
      <c r="C11" s="5"/>
      <c r="D11" s="5"/>
      <c r="E11" s="5"/>
      <c r="F11" s="5"/>
      <c r="G11" s="5">
        <v>1000</v>
      </c>
      <c r="H11" s="5">
        <v>1000</v>
      </c>
      <c r="I11" s="5">
        <v>1000</v>
      </c>
      <c r="J11" s="5">
        <v>1000</v>
      </c>
      <c r="K11" s="5">
        <v>1000</v>
      </c>
      <c r="L11" s="5">
        <v>1000</v>
      </c>
      <c r="M11" s="5">
        <v>1000</v>
      </c>
      <c r="N11" s="5">
        <v>1000</v>
      </c>
    </row>
    <row r="12" spans="1:14" ht="15">
      <c r="A12" s="9" t="s">
        <v>137</v>
      </c>
      <c r="B12" s="4">
        <f t="shared" si="0"/>
        <v>12000</v>
      </c>
      <c r="C12" s="5"/>
      <c r="D12" s="5"/>
      <c r="E12" s="5"/>
      <c r="F12" s="5"/>
      <c r="G12" s="5">
        <v>1500</v>
      </c>
      <c r="H12" s="5">
        <v>1500</v>
      </c>
      <c r="I12" s="5">
        <v>1500</v>
      </c>
      <c r="J12" s="5">
        <v>1500</v>
      </c>
      <c r="K12" s="5">
        <v>1500</v>
      </c>
      <c r="L12" s="5">
        <v>1500</v>
      </c>
      <c r="M12" s="5">
        <v>1500</v>
      </c>
      <c r="N12" s="5">
        <v>1500</v>
      </c>
    </row>
    <row r="13" spans="1:14" ht="15">
      <c r="A13" s="9" t="s">
        <v>138</v>
      </c>
      <c r="B13" s="4">
        <f t="shared" si="0"/>
        <v>95000</v>
      </c>
      <c r="C13" s="4">
        <f aca="true" t="shared" si="1" ref="C13:M13">SUM(C3:C12)</f>
        <v>1000</v>
      </c>
      <c r="D13" s="4">
        <f t="shared" si="1"/>
        <v>1000</v>
      </c>
      <c r="E13" s="4">
        <f t="shared" si="1"/>
        <v>1000</v>
      </c>
      <c r="F13" s="4">
        <f t="shared" si="1"/>
        <v>1000</v>
      </c>
      <c r="G13" s="4">
        <f t="shared" si="1"/>
        <v>11000</v>
      </c>
      <c r="H13" s="4">
        <f t="shared" si="1"/>
        <v>11000</v>
      </c>
      <c r="I13" s="4">
        <f t="shared" si="1"/>
        <v>11500</v>
      </c>
      <c r="J13" s="4">
        <f t="shared" si="1"/>
        <v>11500</v>
      </c>
      <c r="K13" s="4">
        <f t="shared" si="1"/>
        <v>11500</v>
      </c>
      <c r="L13" s="4">
        <f t="shared" si="1"/>
        <v>11500</v>
      </c>
      <c r="M13" s="4">
        <f t="shared" si="1"/>
        <v>11500</v>
      </c>
      <c r="N13" s="4">
        <f>SUM(N3:N12)</f>
        <v>11500</v>
      </c>
    </row>
    <row r="16" spans="1:14" ht="15">
      <c r="A16" s="1" t="s">
        <v>139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  <c r="M16" s="2" t="s">
        <v>12</v>
      </c>
      <c r="N16" s="2" t="s">
        <v>13</v>
      </c>
    </row>
    <row r="17" spans="1:14" ht="15">
      <c r="A17" s="9" t="s">
        <v>128</v>
      </c>
      <c r="B17" s="4">
        <f aca="true" t="shared" si="2" ref="B17:B23">SUM(C17:N17)</f>
        <v>7000</v>
      </c>
      <c r="C17" s="5"/>
      <c r="D17" s="5"/>
      <c r="E17" s="5"/>
      <c r="F17" s="5"/>
      <c r="G17" s="5"/>
      <c r="H17" s="5"/>
      <c r="I17" s="5">
        <v>2000</v>
      </c>
      <c r="J17" s="5">
        <v>1000</v>
      </c>
      <c r="K17" s="5"/>
      <c r="L17" s="5">
        <v>1000</v>
      </c>
      <c r="M17" s="5"/>
      <c r="N17" s="5">
        <v>3000</v>
      </c>
    </row>
    <row r="18" spans="1:14" ht="15">
      <c r="A18" s="9" t="s">
        <v>133</v>
      </c>
      <c r="B18" s="4">
        <f t="shared" si="2"/>
        <v>8000</v>
      </c>
      <c r="C18" s="5"/>
      <c r="D18" s="5"/>
      <c r="E18" s="5"/>
      <c r="F18" s="5"/>
      <c r="G18" s="5"/>
      <c r="H18" s="5"/>
      <c r="I18" s="5">
        <v>3000</v>
      </c>
      <c r="J18" s="5"/>
      <c r="K18" s="5">
        <v>2000</v>
      </c>
      <c r="L18" s="5"/>
      <c r="M18" s="5"/>
      <c r="N18" s="5">
        <v>3000</v>
      </c>
    </row>
    <row r="19" spans="1:14" ht="15">
      <c r="A19" s="9" t="s">
        <v>129</v>
      </c>
      <c r="B19" s="4">
        <f t="shared" si="2"/>
        <v>14000</v>
      </c>
      <c r="C19" s="5"/>
      <c r="D19" s="5"/>
      <c r="E19" s="5"/>
      <c r="F19" s="5"/>
      <c r="G19" s="5"/>
      <c r="H19" s="5"/>
      <c r="I19" s="5"/>
      <c r="J19" s="5">
        <v>6000</v>
      </c>
      <c r="K19" s="5">
        <v>2000</v>
      </c>
      <c r="L19" s="5">
        <v>2000</v>
      </c>
      <c r="M19" s="5">
        <v>2000</v>
      </c>
      <c r="N19" s="5">
        <v>2000</v>
      </c>
    </row>
    <row r="20" spans="1:14" ht="15">
      <c r="A20" s="9" t="s">
        <v>130</v>
      </c>
      <c r="B20" s="4">
        <f t="shared" si="2"/>
        <v>5000</v>
      </c>
      <c r="C20" s="5"/>
      <c r="D20" s="5"/>
      <c r="E20" s="5"/>
      <c r="F20" s="5"/>
      <c r="G20" s="5"/>
      <c r="H20" s="5"/>
      <c r="I20" s="5"/>
      <c r="J20" s="5">
        <v>5000</v>
      </c>
      <c r="K20" s="5"/>
      <c r="L20" s="5"/>
      <c r="M20" s="5"/>
      <c r="N20" s="5"/>
    </row>
    <row r="21" spans="1:14" ht="15">
      <c r="A21" s="9" t="s">
        <v>131</v>
      </c>
      <c r="B21" s="4">
        <f t="shared" si="2"/>
        <v>9000</v>
      </c>
      <c r="C21" s="5"/>
      <c r="D21" s="5"/>
      <c r="E21" s="5"/>
      <c r="F21" s="5"/>
      <c r="G21" s="5"/>
      <c r="H21" s="5"/>
      <c r="I21" s="5">
        <v>6000</v>
      </c>
      <c r="J21" s="5"/>
      <c r="K21" s="5"/>
      <c r="L21" s="5"/>
      <c r="M21" s="5"/>
      <c r="N21" s="5">
        <v>3000</v>
      </c>
    </row>
    <row r="22" spans="1:14" ht="15">
      <c r="A22" s="9" t="s">
        <v>132</v>
      </c>
      <c r="B22" s="4">
        <f t="shared" si="2"/>
        <v>3000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3000</v>
      </c>
    </row>
    <row r="23" spans="1:14" ht="15">
      <c r="A23" s="9" t="s">
        <v>134</v>
      </c>
      <c r="B23" s="4">
        <f t="shared" si="2"/>
        <v>3000</v>
      </c>
      <c r="C23" s="5"/>
      <c r="D23" s="5"/>
      <c r="E23" s="5"/>
      <c r="F23" s="5"/>
      <c r="G23" s="5"/>
      <c r="H23" s="5"/>
      <c r="I23" s="5">
        <v>500</v>
      </c>
      <c r="J23" s="5"/>
      <c r="K23" s="5">
        <v>1000</v>
      </c>
      <c r="L23" s="5">
        <v>500</v>
      </c>
      <c r="M23" s="5">
        <v>500</v>
      </c>
      <c r="N23" s="5">
        <v>500</v>
      </c>
    </row>
    <row r="24" spans="1:14" ht="26.25">
      <c r="A24" s="9" t="s">
        <v>135</v>
      </c>
      <c r="B24" s="4">
        <f>SUM(C24:N24)</f>
        <v>8000</v>
      </c>
      <c r="C24" s="5"/>
      <c r="D24" s="5"/>
      <c r="E24" s="5"/>
      <c r="F24" s="5"/>
      <c r="G24" s="5"/>
      <c r="H24" s="5"/>
      <c r="I24" s="5"/>
      <c r="J24" s="5">
        <v>8000</v>
      </c>
      <c r="K24" s="5"/>
      <c r="L24" s="5"/>
      <c r="M24" s="5"/>
      <c r="N24" s="5"/>
    </row>
    <row r="25" spans="1:14" ht="26.25">
      <c r="A25" s="9" t="s">
        <v>136</v>
      </c>
      <c r="B25" s="4">
        <f>SUM(C25:N25)</f>
        <v>7000</v>
      </c>
      <c r="C25" s="5"/>
      <c r="D25" s="5"/>
      <c r="E25" s="5"/>
      <c r="F25" s="5"/>
      <c r="G25" s="5"/>
      <c r="H25" s="5"/>
      <c r="I25" s="5"/>
      <c r="J25" s="5">
        <v>3000</v>
      </c>
      <c r="K25" s="5">
        <v>1000</v>
      </c>
      <c r="L25" s="5">
        <v>1000</v>
      </c>
      <c r="M25" s="5">
        <v>1000</v>
      </c>
      <c r="N25" s="5">
        <v>1000</v>
      </c>
    </row>
    <row r="26" spans="1:14" ht="15">
      <c r="A26" s="9" t="s">
        <v>137</v>
      </c>
      <c r="B26" s="4">
        <f>SUM(C26:N26)</f>
        <v>9000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9000</v>
      </c>
      <c r="N26" s="5"/>
    </row>
    <row r="27" spans="1:14" ht="15">
      <c r="A27" s="9" t="s">
        <v>138</v>
      </c>
      <c r="B27" s="4">
        <f>SUM(C27:N27)</f>
        <v>73000</v>
      </c>
      <c r="C27" s="4">
        <f aca="true" t="shared" si="3" ref="C27:N27">SUM(C17:C26)</f>
        <v>0</v>
      </c>
      <c r="D27" s="4">
        <f t="shared" si="3"/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11500</v>
      </c>
      <c r="J27" s="4">
        <f t="shared" si="3"/>
        <v>23000</v>
      </c>
      <c r="K27" s="4">
        <f t="shared" si="3"/>
        <v>6000</v>
      </c>
      <c r="L27" s="4">
        <f t="shared" si="3"/>
        <v>4500</v>
      </c>
      <c r="M27" s="4">
        <f t="shared" si="3"/>
        <v>12500</v>
      </c>
      <c r="N27" s="4">
        <f t="shared" si="3"/>
        <v>15500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6.8515625" style="0" bestFit="1" customWidth="1"/>
    <col min="2" max="2" width="16.7109375" style="0" customWidth="1"/>
    <col min="3" max="3" width="9.28125" style="0" bestFit="1" customWidth="1"/>
    <col min="4" max="4" width="9.00390625" style="0" bestFit="1" customWidth="1"/>
    <col min="7" max="7" width="10.00390625" style="0" bestFit="1" customWidth="1"/>
  </cols>
  <sheetData>
    <row r="2" spans="1:7" ht="30" customHeight="1">
      <c r="A2" s="151" t="s">
        <v>321</v>
      </c>
      <c r="B2" s="149" t="s">
        <v>322</v>
      </c>
      <c r="C2" s="95" t="s">
        <v>5</v>
      </c>
      <c r="D2" s="95" t="s">
        <v>8</v>
      </c>
      <c r="E2" s="95" t="s">
        <v>11</v>
      </c>
      <c r="F2" s="95" t="s">
        <v>13</v>
      </c>
      <c r="G2" s="138" t="s">
        <v>320</v>
      </c>
    </row>
    <row r="3" spans="1:7" ht="15">
      <c r="A3" s="152"/>
      <c r="B3" s="150"/>
      <c r="C3" s="25">
        <v>45176.28</v>
      </c>
      <c r="D3" s="25">
        <v>28109.2</v>
      </c>
      <c r="E3" s="25">
        <v>25150.38</v>
      </c>
      <c r="F3" s="25">
        <v>47327.52</v>
      </c>
      <c r="G3" s="25">
        <f>SUM(C3:F3)</f>
        <v>145763.38</v>
      </c>
    </row>
    <row r="4" spans="1:7" ht="15">
      <c r="A4" s="3" t="s">
        <v>73</v>
      </c>
      <c r="B4" s="139">
        <v>0.14498931208212923</v>
      </c>
      <c r="C4" s="25">
        <f>ROUND(B4*$C$3,2)</f>
        <v>6550.08</v>
      </c>
      <c r="D4" s="25">
        <f>ROUND(B4*$D$3,2)</f>
        <v>4075.53</v>
      </c>
      <c r="E4" s="25">
        <f>ROUND(B4*$E$3,2)</f>
        <v>3646.54</v>
      </c>
      <c r="F4" s="25">
        <f>ROUND(B4*$F$3,2)</f>
        <v>6861.98</v>
      </c>
      <c r="G4" s="25">
        <f>SUM(C4:F4)</f>
        <v>21134.13</v>
      </c>
    </row>
    <row r="5" spans="1:7" ht="15">
      <c r="A5" s="3" t="s">
        <v>74</v>
      </c>
      <c r="B5" s="139">
        <v>0.3726292072988323</v>
      </c>
      <c r="C5" s="25">
        <f>ROUND(B5*$C$3,2)</f>
        <v>16834</v>
      </c>
      <c r="D5" s="25">
        <f>ROUND(B5*$D$3,2)</f>
        <v>10474.31</v>
      </c>
      <c r="E5" s="25">
        <f>ROUND(B5*$E$3,2)</f>
        <v>9371.77</v>
      </c>
      <c r="F5" s="25">
        <f>ROUND(B5*$F$3,2)</f>
        <v>17635.62</v>
      </c>
      <c r="G5" s="25">
        <f>SUM(C5:F5)</f>
        <v>54315.7</v>
      </c>
    </row>
    <row r="6" spans="1:7" ht="15">
      <c r="A6" s="3" t="s">
        <v>75</v>
      </c>
      <c r="B6" s="139">
        <v>0.48238148061903846</v>
      </c>
      <c r="C6" s="25">
        <f>C3-C4-C5</f>
        <v>21792.199999999997</v>
      </c>
      <c r="D6" s="25">
        <f>D3-D4-D5</f>
        <v>13559.360000000002</v>
      </c>
      <c r="E6" s="25">
        <f>E3-E4-E5</f>
        <v>12132.07</v>
      </c>
      <c r="F6" s="25">
        <f>F3-F4-F5</f>
        <v>22829.919999999995</v>
      </c>
      <c r="G6" s="25">
        <f>SUM(C6:F6)</f>
        <v>70313.54999999999</v>
      </c>
    </row>
    <row r="7" spans="2:6" ht="15">
      <c r="B7" s="140">
        <f>SUM(B4:B6)</f>
        <v>1</v>
      </c>
      <c r="C7" s="94"/>
      <c r="D7" s="94"/>
      <c r="E7" s="94"/>
      <c r="F7" s="94"/>
    </row>
  </sheetData>
  <sheetProtection/>
  <mergeCells count="2">
    <mergeCell ref="B2:B3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tabSelected="1" zoomScalePageLayoutView="0" workbookViewId="0" topLeftCell="A97">
      <selection activeCell="G42" sqref="G42"/>
    </sheetView>
  </sheetViews>
  <sheetFormatPr defaultColWidth="9.140625" defaultRowHeight="15"/>
  <cols>
    <col min="1" max="1" width="28.421875" style="0" customWidth="1"/>
    <col min="2" max="2" width="12.421875" style="0" customWidth="1"/>
    <col min="3" max="3" width="11.7109375" style="0" bestFit="1" customWidth="1"/>
    <col min="4" max="4" width="19.00390625" style="0" customWidth="1"/>
    <col min="5" max="5" width="11.421875" style="0" bestFit="1" customWidth="1"/>
    <col min="6" max="6" width="12.140625" style="0" customWidth="1"/>
  </cols>
  <sheetData>
    <row r="1" spans="1:3" ht="25.5" customHeight="1">
      <c r="A1" s="153" t="str">
        <f>'ОДДС 2009'!B1</f>
        <v>РЕЗУЛЬТАТЫ ДЕЯТЕЛЬНОСТИ ПОМЕСЯЧНО ТСЖ"ТАТИЩЕВА,92"</v>
      </c>
      <c r="B1" s="153"/>
      <c r="C1" s="153"/>
    </row>
    <row r="2" spans="1:4" ht="26.25">
      <c r="A2" s="23" t="s">
        <v>143</v>
      </c>
      <c r="B2" s="23" t="s">
        <v>144</v>
      </c>
      <c r="C2" s="23" t="s">
        <v>145</v>
      </c>
      <c r="D2" s="23" t="s">
        <v>302</v>
      </c>
    </row>
    <row r="3" spans="1:4" ht="25.5">
      <c r="A3" s="19" t="str">
        <f>'ОДДС 2009'!B3</f>
        <v>Содержание и ремонт общедомового имущества</v>
      </c>
      <c r="B3" s="18">
        <f>'ОДДС 2009'!C3</f>
        <v>2579007.3200000003</v>
      </c>
      <c r="C3" s="18">
        <f>'ОДДС 2009'!C44</f>
        <v>2204054.3699999996</v>
      </c>
      <c r="D3" s="18">
        <f>B3-C3</f>
        <v>374952.95000000065</v>
      </c>
    </row>
    <row r="4" spans="1:4" ht="15">
      <c r="A4" s="20" t="str">
        <f>'ОДДС 2009'!B4</f>
        <v>квартиры</v>
      </c>
      <c r="B4" s="5">
        <f>'ОДДС 2009'!C4</f>
        <v>2215584.0700000003</v>
      </c>
      <c r="C4" s="5">
        <f>'ОДДС 2009'!C45</f>
        <v>1890688.7199999997</v>
      </c>
      <c r="D4" s="5">
        <f aca="true" t="shared" si="0" ref="D4:D40">B4-C4</f>
        <v>324895.35000000056</v>
      </c>
    </row>
    <row r="5" spans="1:4" ht="15">
      <c r="A5" s="20" t="str">
        <f>'ОДДС 2009'!B5</f>
        <v>офисы</v>
      </c>
      <c r="B5" s="5">
        <f>'ОДДС 2009'!C5</f>
        <v>276171.25</v>
      </c>
      <c r="C5" s="5">
        <f>'ОДДС 2009'!C46</f>
        <v>249574.56999999998</v>
      </c>
      <c r="D5" s="5">
        <f t="shared" si="0"/>
        <v>26596.680000000022</v>
      </c>
    </row>
    <row r="6" spans="1:4" ht="15">
      <c r="A6" s="21" t="str">
        <f>'ОДДС 2009'!B6</f>
        <v>гаражи</v>
      </c>
      <c r="B6" s="5">
        <f>'ОДДС 2009'!C6</f>
        <v>87252</v>
      </c>
      <c r="C6" s="5">
        <f>'ОДДС 2009'!C47</f>
        <v>63791.08</v>
      </c>
      <c r="D6" s="5">
        <f t="shared" si="0"/>
        <v>23460.92</v>
      </c>
    </row>
    <row r="7" spans="1:4" ht="25.5">
      <c r="A7" s="19" t="str">
        <f>'ОДДС 2009'!B7</f>
        <v>Взносы на капитальный ремонт</v>
      </c>
      <c r="B7" s="18">
        <f>'ОДДС 2009'!C7</f>
        <v>325044.8599999999</v>
      </c>
      <c r="C7" s="18">
        <f>'ОДДС 2009'!C48</f>
        <v>275982.43</v>
      </c>
      <c r="D7" s="18">
        <f t="shared" si="0"/>
        <v>49062.429999999935</v>
      </c>
    </row>
    <row r="8" spans="1:4" ht="15">
      <c r="A8" s="20" t="str">
        <f>'ОДДС 2009'!B8</f>
        <v>квартиры</v>
      </c>
      <c r="B8" s="5">
        <f>'ОДДС 2009'!C8</f>
        <v>265877.92</v>
      </c>
      <c r="C8" s="5">
        <f>'ОДДС 2009'!C49</f>
        <v>227055.36</v>
      </c>
      <c r="D8" s="5">
        <f t="shared" si="0"/>
        <v>38822.56</v>
      </c>
    </row>
    <row r="9" spans="1:4" ht="15">
      <c r="A9" s="20" t="str">
        <f>'ОДДС 2009'!B9</f>
        <v>офисы</v>
      </c>
      <c r="B9" s="5">
        <f>'ОДДС 2009'!C9</f>
        <v>32991.34</v>
      </c>
      <c r="C9" s="5">
        <f>'ОДДС 2009'!C50</f>
        <v>29789.79</v>
      </c>
      <c r="D9" s="5">
        <f t="shared" si="0"/>
        <v>3201.5499999999956</v>
      </c>
    </row>
    <row r="10" spans="1:4" ht="15">
      <c r="A10" s="21" t="str">
        <f>'ОДДС 2009'!B10</f>
        <v>гаражи</v>
      </c>
      <c r="B10" s="5">
        <f>'ОДДС 2009'!C10</f>
        <v>26175.599999999995</v>
      </c>
      <c r="C10" s="5">
        <f>'ОДДС 2009'!C51</f>
        <v>19137.280000000002</v>
      </c>
      <c r="D10" s="5">
        <f t="shared" si="0"/>
        <v>7038.319999999992</v>
      </c>
    </row>
    <row r="11" spans="1:4" ht="15">
      <c r="A11" s="19" t="str">
        <f>'ОДДС 2009'!B11</f>
        <v>Отопление</v>
      </c>
      <c r="B11" s="4">
        <f>'ОДДС 2009'!C11</f>
        <v>1077553.05</v>
      </c>
      <c r="C11" s="4">
        <f>'ОДДС 2009'!C52</f>
        <v>862315.6400000001</v>
      </c>
      <c r="D11" s="4">
        <f t="shared" si="0"/>
        <v>215237.40999999992</v>
      </c>
    </row>
    <row r="12" spans="1:4" ht="15">
      <c r="A12" s="20" t="str">
        <f>'ОДДС 2009'!B12</f>
        <v>квартиры</v>
      </c>
      <c r="B12" s="5">
        <f>'ОДДС 2009'!C12</f>
        <v>857544.0999999999</v>
      </c>
      <c r="C12" s="5">
        <f>'ОДДС 2009'!C53</f>
        <v>713315.61</v>
      </c>
      <c r="D12" s="5">
        <f t="shared" si="0"/>
        <v>144228.48999999987</v>
      </c>
    </row>
    <row r="13" spans="1:4" ht="15">
      <c r="A13" s="20" t="str">
        <f>'ОДДС 2009'!B13</f>
        <v>офисы</v>
      </c>
      <c r="B13" s="5">
        <f>'ОДДС 2009'!C13</f>
        <v>167937.77999999997</v>
      </c>
      <c r="C13" s="5">
        <f>'ОДДС 2009'!C54</f>
        <v>129006.17999999998</v>
      </c>
      <c r="D13" s="5">
        <f t="shared" si="0"/>
        <v>38931.59999999999</v>
      </c>
    </row>
    <row r="14" spans="1:4" ht="15">
      <c r="A14" s="20" t="str">
        <f>'ОДДС 2009'!B14</f>
        <v>гаражи</v>
      </c>
      <c r="B14" s="5">
        <f>'ОДДС 2009'!C14</f>
        <v>52071.17</v>
      </c>
      <c r="C14" s="5">
        <f>'ОДДС 2009'!C55</f>
        <v>19993.85</v>
      </c>
      <c r="D14" s="5">
        <f t="shared" si="0"/>
        <v>32077.32</v>
      </c>
    </row>
    <row r="15" spans="1:4" ht="15">
      <c r="A15" s="19" t="str">
        <f>'ОДДС 2009'!B15</f>
        <v>ХВС</v>
      </c>
      <c r="B15" s="4">
        <f>'ОДДС 2009'!C15</f>
        <v>235911.29999999996</v>
      </c>
      <c r="C15" s="4">
        <f>'ОДДС 2009'!C56</f>
        <v>227386.41</v>
      </c>
      <c r="D15" s="4">
        <f t="shared" si="0"/>
        <v>8524.889999999956</v>
      </c>
    </row>
    <row r="16" spans="1:4" ht="15">
      <c r="A16" s="20" t="str">
        <f>'ОДДС 2009'!B16</f>
        <v>квартиры</v>
      </c>
      <c r="B16" s="5">
        <f>'ОДДС 2009'!C16</f>
        <v>212288.81</v>
      </c>
      <c r="C16" s="5">
        <f>'ОДДС 2009'!C57</f>
        <v>206656.4</v>
      </c>
      <c r="D16" s="5">
        <f t="shared" si="0"/>
        <v>5632.4100000000035</v>
      </c>
    </row>
    <row r="17" spans="1:4" ht="15">
      <c r="A17" s="20" t="str">
        <f>'ОДДС 2009'!B17</f>
        <v>офисы</v>
      </c>
      <c r="B17" s="5">
        <f>'ОДДС 2009'!C17</f>
        <v>23622.49</v>
      </c>
      <c r="C17" s="5">
        <f>'ОДДС 2009'!C58</f>
        <v>20730.010000000002</v>
      </c>
      <c r="D17" s="5">
        <f t="shared" si="0"/>
        <v>2892.4799999999996</v>
      </c>
    </row>
    <row r="18" spans="1:4" ht="15">
      <c r="A18" s="19" t="str">
        <f>'ОДДС 2009'!B18</f>
        <v>ГВС подача</v>
      </c>
      <c r="B18" s="4">
        <f>'ОДДС 2009'!C18</f>
        <v>175470.47</v>
      </c>
      <c r="C18" s="4">
        <f>'ОДДС 2009'!C59</f>
        <v>148871.4</v>
      </c>
      <c r="D18" s="4">
        <f t="shared" si="0"/>
        <v>26599.070000000007</v>
      </c>
    </row>
    <row r="19" spans="1:4" ht="15">
      <c r="A19" s="20" t="str">
        <f>'ОДДС 2009'!B19</f>
        <v>квартиры</v>
      </c>
      <c r="B19" s="5">
        <f>'ОДДС 2009'!C19</f>
        <v>173358.42</v>
      </c>
      <c r="C19" s="5">
        <f>'ОДДС 2009'!C60</f>
        <v>148350.63</v>
      </c>
      <c r="D19" s="5">
        <f t="shared" si="0"/>
        <v>25007.790000000008</v>
      </c>
    </row>
    <row r="20" spans="1:4" ht="15">
      <c r="A20" s="20" t="str">
        <f>'ОДДС 2009'!B20</f>
        <v>офисы</v>
      </c>
      <c r="B20" s="5">
        <f>'ОДДС 2009'!C20</f>
        <v>2112.05</v>
      </c>
      <c r="C20" s="5">
        <f>'ОДДС 2009'!C61</f>
        <v>520.77</v>
      </c>
      <c r="D20" s="5">
        <f t="shared" si="0"/>
        <v>1591.2800000000002</v>
      </c>
    </row>
    <row r="21" spans="1:4" ht="15">
      <c r="A21" s="19" t="str">
        <f>'ОДДС 2009'!B21</f>
        <v>ГВС нагрев</v>
      </c>
      <c r="B21" s="4">
        <f>'ОДДС 2009'!C21</f>
        <v>434969.51999999996</v>
      </c>
      <c r="C21" s="4">
        <f>'ОДДС 2009'!C62</f>
        <v>365414.08999999997</v>
      </c>
      <c r="D21" s="4">
        <f t="shared" si="0"/>
        <v>69555.43</v>
      </c>
    </row>
    <row r="22" spans="1:4" ht="15">
      <c r="A22" s="20" t="str">
        <f>'ОДДС 2009'!B22</f>
        <v>квартиры</v>
      </c>
      <c r="B22" s="5">
        <f>'ОДДС 2009'!C22</f>
        <v>420389.81999999995</v>
      </c>
      <c r="C22" s="5">
        <f>'ОДДС 2009'!C63</f>
        <v>353747.5099999999</v>
      </c>
      <c r="D22" s="5">
        <f t="shared" si="0"/>
        <v>66642.31000000006</v>
      </c>
    </row>
    <row r="23" spans="1:4" ht="15">
      <c r="A23" s="20" t="str">
        <f>'ОДДС 2009'!B23</f>
        <v>офисы</v>
      </c>
      <c r="B23" s="5">
        <f>'ОДДС 2009'!C23</f>
        <v>14579.699999999999</v>
      </c>
      <c r="C23" s="5">
        <f>'ОДДС 2009'!C64</f>
        <v>11666.580000000002</v>
      </c>
      <c r="D23" s="5">
        <f t="shared" si="0"/>
        <v>2913.119999999997</v>
      </c>
    </row>
    <row r="24" spans="1:4" ht="15">
      <c r="A24" s="19" t="str">
        <f>'ОДДС 2009'!B24</f>
        <v>Водоотведение</v>
      </c>
      <c r="B24" s="4">
        <f>'ОДДС 2009'!C24</f>
        <v>177137.87000000002</v>
      </c>
      <c r="C24" s="4">
        <f>'ОДДС 2009'!C65</f>
        <v>152475.21000000002</v>
      </c>
      <c r="D24" s="4">
        <f t="shared" si="0"/>
        <v>24662.660000000003</v>
      </c>
    </row>
    <row r="25" spans="1:4" ht="15">
      <c r="A25" s="20" t="str">
        <f>'ОДДС 2009'!B25</f>
        <v>квартиры</v>
      </c>
      <c r="B25" s="5">
        <f>'ОДДС 2009'!C25</f>
        <v>165897.86000000002</v>
      </c>
      <c r="C25" s="5">
        <f>'ОДДС 2009'!C66</f>
        <v>143193.63999999998</v>
      </c>
      <c r="D25" s="5">
        <f t="shared" si="0"/>
        <v>22704.22000000003</v>
      </c>
    </row>
    <row r="26" spans="1:6" ht="15">
      <c r="A26" s="20" t="str">
        <f>'ОДДС 2009'!B26</f>
        <v>офисы</v>
      </c>
      <c r="B26" s="5">
        <f>'ОДДС 2009'!C26</f>
        <v>11240.01</v>
      </c>
      <c r="C26" s="5">
        <f>'ОДДС 2009'!C67</f>
        <v>9281.57</v>
      </c>
      <c r="D26" s="5">
        <f t="shared" si="0"/>
        <v>1958.4400000000005</v>
      </c>
      <c r="F26" s="142">
        <v>100587.1</v>
      </c>
    </row>
    <row r="27" spans="1:6" ht="15">
      <c r="A27" s="19" t="str">
        <f>'ОДДС 2009'!B27</f>
        <v>Электроэнергия</v>
      </c>
      <c r="B27" s="4">
        <f>'ОДДС 2009'!C27</f>
        <v>1958013.1199999996</v>
      </c>
      <c r="C27" s="4">
        <f>'ОДДС 2009'!C68</f>
        <v>1745025.98</v>
      </c>
      <c r="D27" s="4">
        <f t="shared" si="0"/>
        <v>212987.13999999966</v>
      </c>
      <c r="F27" s="142">
        <v>45176.28</v>
      </c>
    </row>
    <row r="28" spans="1:6" ht="15">
      <c r="A28" s="20" t="str">
        <f>'ОДДС 2009'!B28</f>
        <v>квартиры</v>
      </c>
      <c r="B28" s="5">
        <f>'ОДДС 2009'!C28</f>
        <v>732026.2999999999</v>
      </c>
      <c r="C28" s="5">
        <f>'ОДДС 2009'!C69</f>
        <v>693610</v>
      </c>
      <c r="D28" s="5">
        <f t="shared" si="0"/>
        <v>38416.29999999993</v>
      </c>
      <c r="F28" s="142">
        <f>C41+F26+F27</f>
        <v>6218638.449999998</v>
      </c>
    </row>
    <row r="29" spans="1:6" ht="15">
      <c r="A29" s="20" t="str">
        <f>'ОДДС 2009'!B29</f>
        <v>офисы</v>
      </c>
      <c r="B29" s="5">
        <f>'ОДДС 2009'!C29</f>
        <v>1156870.07</v>
      </c>
      <c r="C29" s="5">
        <f>'ОДДС 2009'!C70</f>
        <v>997550.6000000001</v>
      </c>
      <c r="D29" s="5">
        <f t="shared" si="0"/>
        <v>159319.46999999997</v>
      </c>
      <c r="E29" s="94"/>
      <c r="F29" s="143"/>
    </row>
    <row r="30" spans="1:6" ht="15">
      <c r="A30" s="20" t="str">
        <f>'ОДДС 2009'!B30</f>
        <v>гаражи</v>
      </c>
      <c r="B30" s="5">
        <f>'ОДДС 2009'!C30</f>
        <v>69116.75</v>
      </c>
      <c r="C30" s="5">
        <f>'ОДДС 2009'!C71</f>
        <v>53865.380000000005</v>
      </c>
      <c r="D30" s="5">
        <f t="shared" si="0"/>
        <v>15251.369999999995</v>
      </c>
      <c r="F30" s="142">
        <f>243905.91+1825+1100</f>
        <v>246830.91</v>
      </c>
    </row>
    <row r="31" spans="1:6" ht="15">
      <c r="A31" s="19" t="str">
        <f>'ОДДС 2009'!B31</f>
        <v>Перерасчет</v>
      </c>
      <c r="B31" s="4">
        <f>'ОДДС 2009'!C31</f>
        <v>-5208.389999999999</v>
      </c>
      <c r="C31" s="4">
        <f>'ОДДС 2009'!C72</f>
        <v>-256.73000000000013</v>
      </c>
      <c r="D31" s="4">
        <f t="shared" si="0"/>
        <v>-4951.659999999999</v>
      </c>
      <c r="F31" s="142">
        <v>5846708.67</v>
      </c>
    </row>
    <row r="32" spans="1:6" ht="15">
      <c r="A32" s="20" t="str">
        <f>'ОДДС 2009'!B32</f>
        <v>квартиры</v>
      </c>
      <c r="B32" s="5">
        <f>'ОДДС 2009'!C32</f>
        <v>-4765.15</v>
      </c>
      <c r="C32" s="5">
        <f>'ОДДС 2009'!C73</f>
        <v>186.50999999999988</v>
      </c>
      <c r="D32" s="5">
        <f t="shared" si="0"/>
        <v>-4951.66</v>
      </c>
      <c r="F32" s="142">
        <f>SUM(F30:F31)</f>
        <v>6093539.58</v>
      </c>
    </row>
    <row r="33" spans="1:6" ht="15">
      <c r="A33" s="20" t="str">
        <f>'ОДДС 2009'!B33</f>
        <v>офисы</v>
      </c>
      <c r="B33" s="5">
        <f>'ОДДС 2009'!C33</f>
        <v>-443.24</v>
      </c>
      <c r="C33" s="5">
        <f>'ОДДС 2009'!C74</f>
        <v>-443.24</v>
      </c>
      <c r="D33" s="5">
        <f t="shared" si="0"/>
        <v>0</v>
      </c>
      <c r="F33" s="144">
        <v>1238</v>
      </c>
    </row>
    <row r="34" spans="1:6" ht="15">
      <c r="A34" s="20" t="str">
        <f>'ОДДС 2009'!B34</f>
        <v>гаражи</v>
      </c>
      <c r="B34" s="5">
        <f>'ОДДС 2009'!C34</f>
        <v>0</v>
      </c>
      <c r="C34" s="5">
        <f>'ОДДС 2009'!C75</f>
        <v>0</v>
      </c>
      <c r="D34" s="5">
        <f t="shared" si="0"/>
        <v>0</v>
      </c>
      <c r="F34" s="144">
        <v>10726.2</v>
      </c>
    </row>
    <row r="35" spans="1:6" ht="15">
      <c r="A35" s="19" t="str">
        <f>'ОДДС 2009'!B35</f>
        <v>Пени</v>
      </c>
      <c r="B35" s="4">
        <f>'ОДДС 2009'!C35</f>
        <v>19821.969999999998</v>
      </c>
      <c r="C35" s="4">
        <f>'ОДДС 2009'!C76</f>
        <v>14867.27</v>
      </c>
      <c r="D35" s="4">
        <f t="shared" si="0"/>
        <v>4954.699999999997</v>
      </c>
      <c r="F35" s="142">
        <v>3500</v>
      </c>
    </row>
    <row r="36" spans="1:6" ht="25.5">
      <c r="A36" s="19" t="str">
        <f>'ОДДС 2009'!B36</f>
        <v>Комиссия банка (справочно)</v>
      </c>
      <c r="B36" s="4">
        <f>'ОДДС 2009'!C36</f>
        <v>38869.100000000006</v>
      </c>
      <c r="C36" s="4">
        <f>'ОДДС 2009'!C77</f>
        <v>38322.77</v>
      </c>
      <c r="D36" s="4">
        <f t="shared" si="0"/>
        <v>546.330000000009</v>
      </c>
      <c r="F36" s="142">
        <v>2001</v>
      </c>
    </row>
    <row r="37" spans="1:6" ht="15">
      <c r="A37" s="20" t="str">
        <f>'ОДДС 2009'!B37</f>
        <v>квартиры</v>
      </c>
      <c r="B37" s="5">
        <f>'ОДДС 2009'!C37</f>
        <v>37215.149999999994</v>
      </c>
      <c r="C37" s="5">
        <f>'ОДДС 2009'!C78</f>
        <v>36873.48</v>
      </c>
      <c r="D37" s="5">
        <f t="shared" si="0"/>
        <v>341.669999999991</v>
      </c>
      <c r="F37" s="142">
        <f>F32-F33-F34-F35-F36</f>
        <v>6076074.38</v>
      </c>
    </row>
    <row r="38" spans="1:6" ht="15">
      <c r="A38" s="20" t="str">
        <f>'ОДДС 2009'!B38</f>
        <v>гаражи</v>
      </c>
      <c r="B38" s="5">
        <f>'ОДДС 2009'!C38</f>
        <v>1653.95</v>
      </c>
      <c r="C38" s="5">
        <f>'ОДДС 2009'!C79</f>
        <v>1449.2900000000002</v>
      </c>
      <c r="D38" s="5">
        <f t="shared" si="0"/>
        <v>204.65999999999985</v>
      </c>
      <c r="F38" s="143"/>
    </row>
    <row r="39" spans="1:6" ht="38.25">
      <c r="A39" s="19" t="str">
        <f>'ОДДС 2009'!B39</f>
        <v>Плата провайдеров за размещение оборудования связи в доме</v>
      </c>
      <c r="B39" s="18">
        <f>'ОДДС 2009'!C39</f>
        <v>95000</v>
      </c>
      <c r="C39" s="18">
        <f>'ОДДС 2009'!C80</f>
        <v>73000</v>
      </c>
      <c r="D39" s="18">
        <f t="shared" si="0"/>
        <v>22000</v>
      </c>
      <c r="F39" s="142">
        <f>F37-C41</f>
        <v>3199.310000001453</v>
      </c>
    </row>
    <row r="40" spans="1:4" ht="15">
      <c r="A40" s="22" t="str">
        <f>'ОДДС 2009'!B40</f>
        <v>Прочие поступления</v>
      </c>
      <c r="B40" s="7">
        <f>'ОДДС 2009'!C40</f>
        <v>3739</v>
      </c>
      <c r="C40" s="7">
        <f>'ОДДС 2009'!C81</f>
        <v>3739</v>
      </c>
      <c r="D40" s="7">
        <f t="shared" si="0"/>
        <v>0</v>
      </c>
    </row>
    <row r="41" spans="1:5" ht="15">
      <c r="A41" s="141" t="str">
        <f>'ОДДС 2009'!B41</f>
        <v>Итого без комиссии банка</v>
      </c>
      <c r="B41" s="103">
        <f>'ОДДС 2009'!C41</f>
        <v>7076460.09</v>
      </c>
      <c r="C41" s="103">
        <f>'ОДДС 2009'!C82</f>
        <v>6072875.069999998</v>
      </c>
      <c r="D41" s="103">
        <f>B41-C41</f>
        <v>1003585.0200000014</v>
      </c>
      <c r="E41" s="164">
        <f>C41/B41</f>
        <v>0.8581797950901746</v>
      </c>
    </row>
    <row r="42" spans="1:4" ht="15">
      <c r="A42" s="155" t="s">
        <v>293</v>
      </c>
      <c r="B42" s="155"/>
      <c r="C42" s="155"/>
      <c r="D42" s="106">
        <v>175737.33</v>
      </c>
    </row>
    <row r="43" spans="1:4" ht="15">
      <c r="A43" s="155" t="s">
        <v>147</v>
      </c>
      <c r="B43" s="155"/>
      <c r="C43" s="155"/>
      <c r="D43" s="106">
        <f>SUBTOTAL(9,D41:D42)</f>
        <v>1179322.3500000015</v>
      </c>
    </row>
    <row r="44" spans="2:4" ht="15">
      <c r="B44" s="8"/>
      <c r="C44" s="8"/>
      <c r="D44" s="8"/>
    </row>
    <row r="46" spans="1:4" ht="39">
      <c r="A46" s="23" t="s">
        <v>303</v>
      </c>
      <c r="B46" s="23" t="s">
        <v>144</v>
      </c>
      <c r="C46" s="23" t="s">
        <v>145</v>
      </c>
      <c r="D46" s="23" t="s">
        <v>146</v>
      </c>
    </row>
    <row r="47" spans="1:4" ht="39">
      <c r="A47" s="3" t="str">
        <f>'ОДДС 2009'!B87</f>
        <v>Оплата труда, включая РК, ЕСН, НС и ПЗ, НДФЛ, в том числе:</v>
      </c>
      <c r="B47" s="17">
        <f>'ОДДС 2009'!C87</f>
        <v>452451.8499999999</v>
      </c>
      <c r="C47" s="4">
        <f>'ОДДС 2009'!C189</f>
        <v>452451.8499999999</v>
      </c>
      <c r="D47" s="4">
        <f>B47-C47</f>
        <v>0</v>
      </c>
    </row>
    <row r="48" spans="1:4" ht="15">
      <c r="A48" s="9" t="str">
        <f>'ОДДС 2009'!B88</f>
        <v>председатель</v>
      </c>
      <c r="B48" s="90">
        <f>'ОДДС 2009'!C88</f>
        <v>108741.24</v>
      </c>
      <c r="C48" s="5">
        <f>'ОДДС 2009'!C190</f>
        <v>108741.24</v>
      </c>
      <c r="D48" s="5">
        <f aca="true" t="shared" si="1" ref="D48:D111">B48-C48</f>
        <v>0</v>
      </c>
    </row>
    <row r="49" spans="1:4" ht="15">
      <c r="A49" s="9" t="str">
        <f>'ОДДС 2009'!B89</f>
        <v>бухгалтер по начислениям</v>
      </c>
      <c r="B49" s="90">
        <f>'ОДДС 2009'!C89</f>
        <v>52557.729999999996</v>
      </c>
      <c r="C49" s="5">
        <f>'ОДДС 2009'!C191</f>
        <v>52557.73</v>
      </c>
      <c r="D49" s="5">
        <f t="shared" si="1"/>
        <v>0</v>
      </c>
    </row>
    <row r="50" spans="1:4" ht="15">
      <c r="A50" s="9" t="str">
        <f>'ОДДС 2009'!B90</f>
        <v>дворник, уборщицы</v>
      </c>
      <c r="B50" s="90">
        <f>'ОДДС 2009'!C90</f>
        <v>265671.4199999999</v>
      </c>
      <c r="C50" s="5">
        <f>'ОДДС 2009'!C192</f>
        <v>265671.42</v>
      </c>
      <c r="D50" s="5">
        <f t="shared" si="1"/>
        <v>0</v>
      </c>
    </row>
    <row r="51" spans="1:4" ht="26.25">
      <c r="A51" s="9" t="str">
        <f>'ОДДС 2009'!B91</f>
        <v>уборщицы договоры подряда №1, №2</v>
      </c>
      <c r="B51" s="90">
        <f>'ОДДС 2009'!C91</f>
        <v>8180.64</v>
      </c>
      <c r="C51" s="5">
        <f>'ОДДС 2009'!C193</f>
        <v>8180.639999999999</v>
      </c>
      <c r="D51" s="5">
        <f t="shared" si="1"/>
        <v>0</v>
      </c>
    </row>
    <row r="52" spans="1:4" ht="15">
      <c r="A52" s="9" t="str">
        <f>'ОДДС 2009'!B92</f>
        <v>энергетик</v>
      </c>
      <c r="B52" s="90">
        <f>'ОДДС 2009'!C92</f>
        <v>17300.82</v>
      </c>
      <c r="C52" s="5">
        <f>'ОДДС 2009'!C194</f>
        <v>17300.82</v>
      </c>
      <c r="D52" s="5">
        <f t="shared" si="1"/>
        <v>0</v>
      </c>
    </row>
    <row r="53" spans="1:4" ht="15">
      <c r="A53" s="3" t="str">
        <f>'ОДДС 2009'!B93</f>
        <v>ТСЖ "Прибрежный</v>
      </c>
      <c r="B53" s="11">
        <f>'ОДДС 2009'!C93</f>
        <v>478026</v>
      </c>
      <c r="C53" s="4">
        <f>'ОДДС 2009'!C195</f>
        <v>451029</v>
      </c>
      <c r="D53" s="4">
        <f t="shared" si="1"/>
        <v>26997</v>
      </c>
    </row>
    <row r="54" spans="1:4" ht="26.25">
      <c r="A54" s="9" t="str">
        <f>'ОДДС 2009'!B94</f>
        <v>оплата бухгалтера по начислениям</v>
      </c>
      <c r="B54" s="90">
        <f>'ОДДС 2009'!C94</f>
        <v>11925</v>
      </c>
      <c r="C54" s="5">
        <f>'ОДДС 2009'!C196</f>
        <v>11925</v>
      </c>
      <c r="D54" s="5">
        <f t="shared" si="1"/>
        <v>0</v>
      </c>
    </row>
    <row r="55" spans="1:4" ht="15">
      <c r="A55" s="9" t="str">
        <f>'ОДДС 2009'!B95</f>
        <v>оплата дворника, уборщиц</v>
      </c>
      <c r="B55" s="90">
        <f>'ОДДС 2009'!C95</f>
        <v>113850</v>
      </c>
      <c r="C55" s="5">
        <f>'ОДДС 2009'!C197</f>
        <v>113850</v>
      </c>
      <c r="D55" s="5">
        <f t="shared" si="1"/>
        <v>0</v>
      </c>
    </row>
    <row r="56" spans="1:4" ht="39">
      <c r="A56" s="9" t="str">
        <f>'ОДДС 2009'!B96</f>
        <v>оплата рабочих (техник, электрик, сантехник, дежурн. сантехник, дежурн. электрик)</v>
      </c>
      <c r="B56" s="90">
        <f>'ОДДС 2009'!C96</f>
        <v>88737</v>
      </c>
      <c r="C56" s="5">
        <f>'ОДДС 2009'!C198</f>
        <v>88737</v>
      </c>
      <c r="D56" s="5">
        <f t="shared" si="1"/>
        <v>0</v>
      </c>
    </row>
    <row r="57" spans="1:4" ht="51.75">
      <c r="A57" s="9" t="str">
        <f>'ОДДС 2009'!B97</f>
        <v>агент.вознагр. за ведение договоров на обслуживание (комп. затрат на ПП, энергетика, управляющего)</v>
      </c>
      <c r="B57" s="90">
        <f>'ОДДС 2009'!C97</f>
        <v>30550</v>
      </c>
      <c r="C57" s="5">
        <f>'ОДДС 2009'!C199</f>
        <v>30550</v>
      </c>
      <c r="D57" s="5">
        <f t="shared" si="1"/>
        <v>0</v>
      </c>
    </row>
    <row r="58" spans="1:4" ht="51.75">
      <c r="A58" s="9" t="str">
        <f>'ОДДС 2009'!B98</f>
        <v>агент.вознагр. за ведение договоров на коммун. ресурсы (комп. затрат на ПП, энергетика, управляющего)</v>
      </c>
      <c r="B58" s="10">
        <f>'ОДДС 2009'!C98</f>
        <v>104000</v>
      </c>
      <c r="C58" s="5">
        <f>'ОДДС 2009'!C200</f>
        <v>87750</v>
      </c>
      <c r="D58" s="5">
        <f t="shared" si="1"/>
        <v>16250</v>
      </c>
    </row>
    <row r="59" spans="1:4" ht="15">
      <c r="A59" s="9" t="str">
        <f>'ОДДС 2009'!B99</f>
        <v>диспетчерское обслуживание</v>
      </c>
      <c r="B59" s="10">
        <f>'ОДДС 2009'!C99</f>
        <v>128964</v>
      </c>
      <c r="C59" s="5">
        <f>'ОДДС 2009'!C201</f>
        <v>118217</v>
      </c>
      <c r="D59" s="5">
        <f t="shared" si="1"/>
        <v>10747</v>
      </c>
    </row>
    <row r="60" spans="1:4" ht="26.25">
      <c r="A60" s="3" t="str">
        <f>'ОДДС 2009'!B100</f>
        <v>ООО "РЭП "Горкоммунсервис"</v>
      </c>
      <c r="B60" s="17">
        <f>'ОДДС 2009'!C100</f>
        <v>497440</v>
      </c>
      <c r="C60" s="4">
        <f>'ОДДС 2009'!C202</f>
        <v>497440</v>
      </c>
      <c r="D60" s="4">
        <f t="shared" si="1"/>
        <v>0</v>
      </c>
    </row>
    <row r="61" spans="1:4" ht="39">
      <c r="A61" s="9" t="str">
        <f>'ОДДС 2009'!B101</f>
        <v>комплекс услуг по сопровождению работы ТСЖ и обслуживанию дома</v>
      </c>
      <c r="B61" s="90">
        <f>'ОДДС 2009'!C101</f>
        <v>486440</v>
      </c>
      <c r="C61" s="5">
        <f>'ОДДС 2009'!C203</f>
        <v>486440</v>
      </c>
      <c r="D61" s="5">
        <f t="shared" si="1"/>
        <v>0</v>
      </c>
    </row>
    <row r="62" spans="1:4" ht="39">
      <c r="A62" s="9" t="str">
        <f>'ОДДС 2009'!B102</f>
        <v>промывка теплообменников системы отопления дома и гаража</v>
      </c>
      <c r="B62" s="90">
        <f>'ОДДС 2009'!C102</f>
        <v>11000</v>
      </c>
      <c r="C62" s="5">
        <f>'ОДДС 2009'!C204</f>
        <v>11000</v>
      </c>
      <c r="D62" s="5">
        <f t="shared" si="1"/>
        <v>0</v>
      </c>
    </row>
    <row r="63" spans="1:4" ht="15">
      <c r="A63" s="3" t="str">
        <f>'ОДДС 2009'!B103</f>
        <v>ООО "Аспект"</v>
      </c>
      <c r="B63" s="17">
        <f>'ОДДС 2009'!C103</f>
        <v>37660</v>
      </c>
      <c r="C63" s="4">
        <f>'ОДДС 2009'!C205</f>
        <v>37660</v>
      </c>
      <c r="D63" s="4">
        <f t="shared" si="1"/>
        <v>0</v>
      </c>
    </row>
    <row r="64" spans="1:4" ht="26.25">
      <c r="A64" s="9" t="str">
        <f>'ОДДС 2009'!B104</f>
        <v>обслуживание ИТП и приборов КИПиА</v>
      </c>
      <c r="B64" s="90">
        <f>'ОДДС 2009'!C104</f>
        <v>14600</v>
      </c>
      <c r="C64" s="5">
        <f>'ОДДС 2009'!C206</f>
        <v>14600</v>
      </c>
      <c r="D64" s="5">
        <f t="shared" si="1"/>
        <v>0</v>
      </c>
    </row>
    <row r="65" spans="1:4" ht="26.25">
      <c r="A65" s="9" t="str">
        <f>'ОДДС 2009'!B105</f>
        <v>обслуживание общедом. узлов учета теплоэнергии</v>
      </c>
      <c r="B65" s="90">
        <f>'ОДДС 2009'!C105</f>
        <v>15760</v>
      </c>
      <c r="C65" s="5">
        <f>'ОДДС 2009'!C207</f>
        <v>15760</v>
      </c>
      <c r="D65" s="5">
        <f t="shared" si="1"/>
        <v>0</v>
      </c>
    </row>
    <row r="66" spans="1:4" ht="15">
      <c r="A66" s="9" t="str">
        <f>'ОДДС 2009'!B106</f>
        <v>ремонт насосов ХВС 3 шт.</v>
      </c>
      <c r="B66" s="90">
        <f>'ОДДС 2009'!C106</f>
        <v>7300</v>
      </c>
      <c r="C66" s="5">
        <f>'ОДДС 2009'!C208</f>
        <v>7300</v>
      </c>
      <c r="D66" s="5">
        <f t="shared" si="1"/>
        <v>0</v>
      </c>
    </row>
    <row r="67" spans="1:4" ht="15">
      <c r="A67" s="3" t="str">
        <f>'ОДДС 2009'!B107</f>
        <v>ООО "Интерэнерго"</v>
      </c>
      <c r="B67" s="11">
        <f>'ОДДС 2009'!C107</f>
        <v>324063.43</v>
      </c>
      <c r="C67" s="4">
        <f>'ОДДС 2009'!C209</f>
        <v>298213.43</v>
      </c>
      <c r="D67" s="4">
        <f t="shared" si="1"/>
        <v>25850</v>
      </c>
    </row>
    <row r="68" spans="1:4" ht="39">
      <c r="A68" s="9" t="str">
        <f>'ОДДС 2009'!B108</f>
        <v>обслуживание системы сбора показаний индивидуальных приборов учета</v>
      </c>
      <c r="B68" s="10">
        <f>'ОДДС 2009'!C108</f>
        <v>256500</v>
      </c>
      <c r="C68" s="5">
        <f>'ОДДС 2009'!C210</f>
        <v>235000</v>
      </c>
      <c r="D68" s="5">
        <f t="shared" si="1"/>
        <v>21500</v>
      </c>
    </row>
    <row r="69" spans="1:4" ht="26.25">
      <c r="A69" s="9" t="str">
        <f>'ОДДС 2009'!B109</f>
        <v>обслуживание общедом. узлов учета теплоэнергии</v>
      </c>
      <c r="B69" s="10">
        <f>'ОДДС 2009'!C109</f>
        <v>34800</v>
      </c>
      <c r="C69" s="5">
        <f>'ОДДС 2009'!C211</f>
        <v>30450</v>
      </c>
      <c r="D69" s="5">
        <f t="shared" si="1"/>
        <v>4350</v>
      </c>
    </row>
    <row r="70" spans="1:4" ht="26.25">
      <c r="A70" s="9" t="str">
        <f>'ОДДС 2009'!B110</f>
        <v>обслуживание ИТП и приборов КИПиА</v>
      </c>
      <c r="B70" s="90">
        <f>'ОДДС 2009'!C110</f>
        <v>14600</v>
      </c>
      <c r="C70" s="5">
        <f>'ОДДС 2009'!C212</f>
        <v>14600</v>
      </c>
      <c r="D70" s="5">
        <f t="shared" si="1"/>
        <v>0</v>
      </c>
    </row>
    <row r="71" spans="1:4" ht="26.25">
      <c r="A71" s="9" t="str">
        <f>'ОДДС 2009'!B111</f>
        <v>восстановление общедом. узлов учета теплоэнергии </v>
      </c>
      <c r="B71" s="90">
        <f>'ОДДС 2009'!C111</f>
        <v>14270</v>
      </c>
      <c r="C71" s="5">
        <f>'ОДДС 2009'!C213</f>
        <v>14270</v>
      </c>
      <c r="D71" s="5">
        <f t="shared" si="1"/>
        <v>0</v>
      </c>
    </row>
    <row r="72" spans="1:4" ht="26.25">
      <c r="A72" s="9" t="str">
        <f>'ОДДС 2009'!B112</f>
        <v>поверка термопреобразователей</v>
      </c>
      <c r="B72" s="90">
        <f>'ОДДС 2009'!C112</f>
        <v>1893.43</v>
      </c>
      <c r="C72" s="5">
        <f>'ОДДС 2009'!C214</f>
        <v>1893.43</v>
      </c>
      <c r="D72" s="5">
        <f t="shared" si="1"/>
        <v>0</v>
      </c>
    </row>
    <row r="73" spans="1:4" ht="15">
      <c r="A73" s="9" t="str">
        <f>'ОДДС 2009'!B113</f>
        <v>ремонт расходомера Метран</v>
      </c>
      <c r="B73" s="90">
        <f>'ОДДС 2009'!C113</f>
        <v>2000</v>
      </c>
      <c r="C73" s="5">
        <f>'ОДДС 2009'!C215</f>
        <v>2000</v>
      </c>
      <c r="D73" s="5">
        <f t="shared" si="1"/>
        <v>0</v>
      </c>
    </row>
    <row r="74" spans="1:4" ht="15">
      <c r="A74" s="6" t="str">
        <f>'ОДДС 2009'!B114</f>
        <v>ООО "Лифтмонтаж-1"</v>
      </c>
      <c r="B74" s="11">
        <f>'ОДДС 2009'!C114</f>
        <v>299544.13</v>
      </c>
      <c r="C74" s="4">
        <f>'ОДДС 2009'!C216</f>
        <v>277247.62</v>
      </c>
      <c r="D74" s="4">
        <f t="shared" si="1"/>
        <v>22296.51000000001</v>
      </c>
    </row>
    <row r="75" spans="1:4" ht="26.25">
      <c r="A75" s="9" t="str">
        <f>'ОДДС 2009'!B115</f>
        <v>техобслуживание и ремонт лифтов</v>
      </c>
      <c r="B75" s="10">
        <f>'ОДДС 2009'!C115</f>
        <v>267558.12000000005</v>
      </c>
      <c r="C75" s="5">
        <f>'ОДДС 2009'!C217</f>
        <v>245261.61000000002</v>
      </c>
      <c r="D75" s="5">
        <f t="shared" si="1"/>
        <v>22296.51000000004</v>
      </c>
    </row>
    <row r="76" spans="1:4" ht="26.25">
      <c r="A76" s="9" t="str">
        <f>'ОДДС 2009'!B116</f>
        <v>перенастройка системы диспетчеризации лифтов</v>
      </c>
      <c r="B76" s="90">
        <f>'ОДДС 2009'!C116</f>
        <v>31986.01</v>
      </c>
      <c r="C76" s="5">
        <f>'ОДДС 2009'!C218</f>
        <v>31986.01</v>
      </c>
      <c r="D76" s="5">
        <f t="shared" si="1"/>
        <v>0</v>
      </c>
    </row>
    <row r="77" spans="1:4" ht="51.75">
      <c r="A77" s="3" t="str">
        <f>'ОДДС 2009'!B117</f>
        <v>ООО "Средураллифт" техобслуживание ЛДСС (лифтовой диспетчерской сигнальной связи)</v>
      </c>
      <c r="B77" s="11">
        <f>'ОДДС 2009'!C117</f>
        <v>71594.23999999999</v>
      </c>
      <c r="C77" s="4">
        <f>'ОДДС 2009'!C219</f>
        <v>65627.6</v>
      </c>
      <c r="D77" s="4">
        <f t="shared" si="1"/>
        <v>5966.639999999985</v>
      </c>
    </row>
    <row r="78" spans="1:4" ht="51.75">
      <c r="A78" s="3" t="str">
        <f>'ОДДС 2009'!B118</f>
        <v>ООО "УИЦ "Союзлифтмонтаж" (техосвидетельствование лифтов)</v>
      </c>
      <c r="B78" s="17">
        <f>'ОДДС 2009'!C118</f>
        <v>13810</v>
      </c>
      <c r="C78" s="4">
        <f>'ОДДС 2009'!C220</f>
        <v>13810</v>
      </c>
      <c r="D78" s="4">
        <f t="shared" si="1"/>
        <v>0</v>
      </c>
    </row>
    <row r="79" spans="1:4" ht="39">
      <c r="A79" s="3" t="str">
        <f>'ОДДС 2009'!B119</f>
        <v>ООО "Акадо-Екатеринбург" (ремонт и обслуживание домофонов)</v>
      </c>
      <c r="B79" s="17">
        <f>'ОДДС 2009'!C119</f>
        <v>16800</v>
      </c>
      <c r="C79" s="4">
        <f>'ОДДС 2009'!C221</f>
        <v>16800</v>
      </c>
      <c r="D79" s="4">
        <f t="shared" si="1"/>
        <v>0</v>
      </c>
    </row>
    <row r="80" spans="1:4" ht="39">
      <c r="A80" s="3" t="str">
        <f>'ОДДС 2009'!B120</f>
        <v>ООО "СВД-Инжиниринг" (ремонт и обслуживание домофонов)</v>
      </c>
      <c r="B80" s="11">
        <f>'ОДДС 2009'!C120</f>
        <v>28980</v>
      </c>
      <c r="C80" s="4">
        <f>'ОДДС 2009'!C222</f>
        <v>24150</v>
      </c>
      <c r="D80" s="4">
        <f t="shared" si="1"/>
        <v>4830</v>
      </c>
    </row>
    <row r="81" spans="1:4" ht="39">
      <c r="A81" s="3" t="str">
        <f>'ОДДС 2009'!B121</f>
        <v>УЖКХ Верх-Исетского района (паспортное обслуживание)</v>
      </c>
      <c r="B81" s="11">
        <f>'ОДДС 2009'!C121</f>
        <v>32954.56</v>
      </c>
      <c r="C81" s="4">
        <f>'ОДДС 2009'!C223</f>
        <v>30003.739999999998</v>
      </c>
      <c r="D81" s="4">
        <f t="shared" si="1"/>
        <v>2950.8199999999997</v>
      </c>
    </row>
    <row r="82" spans="1:4" ht="39">
      <c r="A82" s="3" t="str">
        <f>'ОДДС 2009'!B122</f>
        <v>ОАО "Русь-Банк-Урал" расчетно-кассовое обслуживание</v>
      </c>
      <c r="B82" s="17">
        <f>'ОДДС 2009'!C122</f>
        <v>8332.150000000001</v>
      </c>
      <c r="C82" s="4">
        <f>'ОДДС 2009'!C224</f>
        <v>8332.150000000001</v>
      </c>
      <c r="D82" s="4">
        <f t="shared" si="1"/>
        <v>0</v>
      </c>
    </row>
    <row r="83" spans="1:4" ht="15">
      <c r="A83" s="9" t="str">
        <f>'ОДДС 2009'!B123</f>
        <v>расчетное обслуживание</v>
      </c>
      <c r="B83" s="90">
        <f>'ОДДС 2009'!C123</f>
        <v>7816</v>
      </c>
      <c r="C83" s="5">
        <f>'ОДДС 2009'!C225</f>
        <v>7816</v>
      </c>
      <c r="D83" s="5">
        <f t="shared" si="1"/>
        <v>0</v>
      </c>
    </row>
    <row r="84" spans="1:4" ht="15">
      <c r="A84" s="9" t="str">
        <f>'ОДДС 2009'!B124</f>
        <v>кассовое обслуживание</v>
      </c>
      <c r="B84" s="90">
        <f>'ОДДС 2009'!C124</f>
        <v>516.15</v>
      </c>
      <c r="C84" s="5">
        <f>'ОДДС 2009'!C226</f>
        <v>516.15</v>
      </c>
      <c r="D84" s="5">
        <f t="shared" si="1"/>
        <v>0</v>
      </c>
    </row>
    <row r="85" spans="1:4" ht="26.25">
      <c r="A85" s="3" t="str">
        <f>'ОДДС 2009'!B125</f>
        <v>"СБ "ГУБЕРНСКИЙ"(ОАО) расчетное обслуживание</v>
      </c>
      <c r="B85" s="17">
        <f>'ОДДС 2009'!C125</f>
        <v>1825</v>
      </c>
      <c r="C85" s="4">
        <f>'ОДДС 2009'!C227</f>
        <v>1825</v>
      </c>
      <c r="D85" s="4">
        <f t="shared" si="1"/>
        <v>0</v>
      </c>
    </row>
    <row r="86" spans="1:4" ht="51.75">
      <c r="A86" s="3" t="str">
        <f>'ОДДС 2009'!B126</f>
        <v>ООО "Единый расчетный центр" услуги оператора по договору о приеме платежей</v>
      </c>
      <c r="B86" s="11">
        <f>'ОДДС 2009'!C126</f>
        <v>500</v>
      </c>
      <c r="C86" s="4">
        <f>'ОДДС 2009'!C228</f>
        <v>400</v>
      </c>
      <c r="D86" s="4">
        <f t="shared" si="1"/>
        <v>100</v>
      </c>
    </row>
    <row r="87" spans="1:4" ht="51.75">
      <c r="A87" s="3" t="str">
        <f>'ОДДС 2009'!B127</f>
        <v>ЗАО "Городская дезинфекционная станция" (санитарная обработка подвалов от грызунов)</v>
      </c>
      <c r="B87" s="17">
        <f>'ОДДС 2009'!C127</f>
        <v>6044.05</v>
      </c>
      <c r="C87" s="4">
        <f>'ОДДС 2009'!C229</f>
        <v>6044.05</v>
      </c>
      <c r="D87" s="4">
        <f t="shared" si="1"/>
        <v>0</v>
      </c>
    </row>
    <row r="88" spans="1:4" ht="51.75">
      <c r="A88" s="3" t="str">
        <f>'ОДДС 2009'!B128</f>
        <v>ООО "Фирма Растер" (санитарная обработка подвала 5-7 под. от насекомых)</v>
      </c>
      <c r="B88" s="17">
        <f>'ОДДС 2009'!C128</f>
        <v>5400</v>
      </c>
      <c r="C88" s="4">
        <f>'ОДДС 2009'!C230</f>
        <v>5400</v>
      </c>
      <c r="D88" s="4">
        <f t="shared" si="1"/>
        <v>0</v>
      </c>
    </row>
    <row r="89" spans="1:4" ht="39">
      <c r="A89" s="3" t="str">
        <f>'ОДДС 2009'!B129</f>
        <v>Филиал ООО СК "Цюрих. Ритейл" в г. Екатеринбурге (страхование лифтов)</v>
      </c>
      <c r="B89" s="17">
        <f>'ОДДС 2009'!C129</f>
        <v>500</v>
      </c>
      <c r="C89" s="4">
        <f>'ОДДС 2009'!C231</f>
        <v>500</v>
      </c>
      <c r="D89" s="4">
        <f t="shared" si="1"/>
        <v>0</v>
      </c>
    </row>
    <row r="90" spans="1:4" ht="39">
      <c r="A90" s="3" t="str">
        <f>'ОДДС 2009'!B130</f>
        <v>ООО "Центр Бонус" обновление и сопровождение программ</v>
      </c>
      <c r="B90" s="17">
        <f>'ОДДС 2009'!C130</f>
        <v>12890</v>
      </c>
      <c r="C90" s="4">
        <f>'ОДДС 2009'!C232</f>
        <v>12890</v>
      </c>
      <c r="D90" s="4">
        <f t="shared" si="1"/>
        <v>0</v>
      </c>
    </row>
    <row r="91" spans="1:4" ht="39">
      <c r="A91" s="9" t="str">
        <f>'ОДДС 2009'!B131</f>
        <v>ПО "Расчет квартплаты", покупка, обновление, введение штрих-кода</v>
      </c>
      <c r="B91" s="90">
        <f>'ОДДС 2009'!C131</f>
        <v>5190</v>
      </c>
      <c r="C91" s="5">
        <f>'ОДДС 2009'!C233</f>
        <v>5190</v>
      </c>
      <c r="D91" s="5">
        <f t="shared" si="1"/>
        <v>0</v>
      </c>
    </row>
    <row r="92" spans="1:4" ht="26.25">
      <c r="A92" s="9" t="str">
        <f>'ОДДС 2009'!B132</f>
        <v>покупка ПО "Арча" -Учет доходов физических лиц"</v>
      </c>
      <c r="B92" s="90">
        <f>'ОДДС 2009'!C132</f>
        <v>3800</v>
      </c>
      <c r="C92" s="5">
        <f>'ОДДС 2009'!C234</f>
        <v>3800</v>
      </c>
      <c r="D92" s="5">
        <f t="shared" si="1"/>
        <v>0</v>
      </c>
    </row>
    <row r="93" spans="1:4" ht="26.25">
      <c r="A93" s="9" t="str">
        <f>'ОДДС 2009'!B133</f>
        <v>покупка ПО "Учет расчетов и денежных средств" Альфа</v>
      </c>
      <c r="B93" s="90">
        <f>'ОДДС 2009'!C133</f>
        <v>3900</v>
      </c>
      <c r="C93" s="5">
        <f>'ОДДС 2009'!C235</f>
        <v>3900</v>
      </c>
      <c r="D93" s="5">
        <f t="shared" si="1"/>
        <v>0</v>
      </c>
    </row>
    <row r="94" spans="1:4" ht="39">
      <c r="A94" s="3" t="str">
        <f>'ОДДС 2009'!B134</f>
        <v>ООО  "ПО"АНТЭП" ремонт автоматических ворот гаража</v>
      </c>
      <c r="B94" s="17">
        <f>'ОДДС 2009'!C134</f>
        <v>8000</v>
      </c>
      <c r="C94" s="4">
        <f>'ОДДС 2009'!C236</f>
        <v>8000</v>
      </c>
      <c r="D94" s="4">
        <f t="shared" si="1"/>
        <v>0</v>
      </c>
    </row>
    <row r="95" spans="1:4" ht="51.75">
      <c r="A95" s="3" t="str">
        <f>'ОДДС 2009'!B135</f>
        <v>Музафаров Р.Ф. замена привода автоматических ворот гаража договор подряда № 13</v>
      </c>
      <c r="B95" s="17">
        <f>'ОДДС 2009'!C135</f>
        <v>3930.72</v>
      </c>
      <c r="C95" s="4">
        <f>'ОДДС 2009'!C237</f>
        <v>3930.72</v>
      </c>
      <c r="D95" s="4">
        <f t="shared" si="1"/>
        <v>0</v>
      </c>
    </row>
    <row r="96" spans="1:4" ht="26.25">
      <c r="A96" s="3" t="str">
        <f>'ОДДС 2009'!B136</f>
        <v>ООО "Ютера Электрик" электротовары, лампы</v>
      </c>
      <c r="B96" s="17">
        <f>'ОДДС 2009'!C136</f>
        <v>4304.5</v>
      </c>
      <c r="C96" s="4">
        <f>'ОДДС 2009'!C238</f>
        <v>4304.5</v>
      </c>
      <c r="D96" s="4">
        <f t="shared" si="1"/>
        <v>0</v>
      </c>
    </row>
    <row r="97" spans="1:4" ht="26.25">
      <c r="A97" s="3" t="str">
        <f>'ОДДС 2009'!B137</f>
        <v>ООО "Химтес-Электро" электротовары, лампы</v>
      </c>
      <c r="B97" s="17">
        <f>'ОДДС 2009'!C137</f>
        <v>1320</v>
      </c>
      <c r="C97" s="4">
        <f>'ОДДС 2009'!C239</f>
        <v>1320</v>
      </c>
      <c r="D97" s="4">
        <f t="shared" si="1"/>
        <v>0</v>
      </c>
    </row>
    <row r="98" spans="1:4" ht="51.75">
      <c r="A98" s="3" t="str">
        <f>'ОДДС 2009'!B138</f>
        <v>ООО "СБЕРЭНЕРГО" светильники эн/сберегающие антивандальные 100 шт.)</v>
      </c>
      <c r="B98" s="17">
        <f>'ОДДС 2009'!C138</f>
        <v>29500</v>
      </c>
      <c r="C98" s="4">
        <f>'ОДДС 2009'!C240</f>
        <v>29500</v>
      </c>
      <c r="D98" s="4">
        <f t="shared" si="1"/>
        <v>0</v>
      </c>
    </row>
    <row r="99" spans="1:4" ht="26.25">
      <c r="A99" s="3" t="str">
        <f>'ОДДС 2009'!B139</f>
        <v>ЗАО "Промприбор" манометры 4 шт.</v>
      </c>
      <c r="B99" s="17">
        <f>'ОДДС 2009'!C139</f>
        <v>1628.4</v>
      </c>
      <c r="C99" s="4">
        <f>'ОДДС 2009'!C241</f>
        <v>1628.4</v>
      </c>
      <c r="D99" s="4">
        <f t="shared" si="1"/>
        <v>0</v>
      </c>
    </row>
    <row r="100" spans="1:4" ht="26.25">
      <c r="A100" s="3" t="str">
        <f>'ОДДС 2009'!B140</f>
        <v>ООО "АРТ" клумбы бетонные 10 шт.</v>
      </c>
      <c r="B100" s="17">
        <f>'ОДДС 2009'!C140</f>
        <v>6500</v>
      </c>
      <c r="C100" s="4">
        <f>'ОДДС 2009'!C242</f>
        <v>6500</v>
      </c>
      <c r="D100" s="4">
        <f t="shared" si="1"/>
        <v>0</v>
      </c>
    </row>
    <row r="101" spans="1:4" ht="26.25">
      <c r="A101" s="3" t="str">
        <f>'ОДДС 2009'!B141</f>
        <v>ЗАО "УЦСК"Сантехкомплект-Урал" сантехматериалы</v>
      </c>
      <c r="B101" s="17">
        <f>'ОДДС 2009'!C141</f>
        <v>6825.66</v>
      </c>
      <c r="C101" s="4">
        <f>'ОДДС 2009'!C243</f>
        <v>6825.66</v>
      </c>
      <c r="D101" s="4">
        <f t="shared" si="1"/>
        <v>0</v>
      </c>
    </row>
    <row r="102" spans="1:4" ht="26.25">
      <c r="A102" s="3" t="str">
        <f>'ОДДС 2009'!B142</f>
        <v>Госпошлина в суд по иску к Горбунову А.Л. кв. 188)</v>
      </c>
      <c r="B102" s="17">
        <f>'ОДДС 2009'!C142</f>
        <v>734.3</v>
      </c>
      <c r="C102" s="4">
        <f>'ОДДС 2009'!C244</f>
        <v>734.3</v>
      </c>
      <c r="D102" s="4">
        <f t="shared" si="1"/>
        <v>0</v>
      </c>
    </row>
    <row r="103" spans="1:4" ht="26.25">
      <c r="A103" s="3" t="str">
        <f>'ОДДС 2009'!B143</f>
        <v>ИП Мутовкин В.П. уборка снега техникой</v>
      </c>
      <c r="B103" s="17">
        <f>'ОДДС 2009'!C143</f>
        <v>21250</v>
      </c>
      <c r="C103" s="4">
        <f>'ОДДС 2009'!C245</f>
        <v>21250</v>
      </c>
      <c r="D103" s="4">
        <f t="shared" si="1"/>
        <v>0</v>
      </c>
    </row>
    <row r="104" spans="1:4" ht="26.25">
      <c r="A104" s="3" t="str">
        <f>'ОДДС 2009'!B144</f>
        <v>ИП Ледянкина Е.Ю. вывоз снега</v>
      </c>
      <c r="B104" s="17">
        <f>'ОДДС 2009'!C144</f>
        <v>10800</v>
      </c>
      <c r="C104" s="4">
        <f>'ОДДС 2009'!C246</f>
        <v>10800</v>
      </c>
      <c r="D104" s="4">
        <f t="shared" si="1"/>
        <v>0</v>
      </c>
    </row>
    <row r="105" spans="1:4" ht="39">
      <c r="A105" s="3" t="str">
        <f>'ОДДС 2009'!B145</f>
        <v>ООО "ДЭП "Эдельвейс" уборка и вывоз снега техникой</v>
      </c>
      <c r="B105" s="17">
        <f>'ОДДС 2009'!C145</f>
        <v>8201.03</v>
      </c>
      <c r="C105" s="4">
        <f>'ОДДС 2009'!C247</f>
        <v>8201.03</v>
      </c>
      <c r="D105" s="4">
        <f t="shared" si="1"/>
        <v>0</v>
      </c>
    </row>
    <row r="106" spans="1:4" ht="51.75">
      <c r="A106" s="3" t="str">
        <f>'ОДДС 2009'!B146</f>
        <v>Подкорытов В.А. сварочные работы ремонт забора договор подряда №4</v>
      </c>
      <c r="B106" s="17">
        <f>'ОДДС 2009'!C146</f>
        <v>2622</v>
      </c>
      <c r="C106" s="4">
        <f>'ОДДС 2009'!C248</f>
        <v>2622</v>
      </c>
      <c r="D106" s="4">
        <f t="shared" si="1"/>
        <v>0</v>
      </c>
    </row>
    <row r="107" spans="1:4" ht="39">
      <c r="A107" s="3" t="str">
        <f>'ОДДС 2009'!B147</f>
        <v>ООО "Стекло" изготовление и установка зеркал в лифты</v>
      </c>
      <c r="B107" s="17">
        <f>'ОДДС 2009'!C147</f>
        <v>10421.24</v>
      </c>
      <c r="C107" s="4">
        <f>'ОДДС 2009'!C249</f>
        <v>10421.24</v>
      </c>
      <c r="D107" s="4">
        <f t="shared" si="1"/>
        <v>0</v>
      </c>
    </row>
    <row r="108" spans="1:4" ht="39">
      <c r="A108" s="3" t="str">
        <f>'ОДДС 2009'!B148</f>
        <v>ООО "Компания "Экосистема" приобретение контейнеров ТБО 3 шт.</v>
      </c>
      <c r="B108" s="17">
        <f>'ОДДС 2009'!C148</f>
        <v>60900</v>
      </c>
      <c r="C108" s="4">
        <f>'ОДДС 2009'!C250</f>
        <v>60900</v>
      </c>
      <c r="D108" s="4">
        <f t="shared" si="1"/>
        <v>0</v>
      </c>
    </row>
    <row r="109" spans="1:4" ht="26.25">
      <c r="A109" s="3" t="str">
        <f>'ОДДС 2009'!B149</f>
        <v>ООО "ИВП Крейт" датчики давления Метран 2 шт.</v>
      </c>
      <c r="B109" s="17">
        <f>'ОДДС 2009'!C149</f>
        <v>4389.6</v>
      </c>
      <c r="C109" s="4">
        <f>'ОДДС 2009'!C251</f>
        <v>4389.5999999999985</v>
      </c>
      <c r="D109" s="4">
        <f t="shared" si="1"/>
        <v>0</v>
      </c>
    </row>
    <row r="110" spans="1:4" ht="39">
      <c r="A110" s="3" t="str">
        <f>'ОДДС 2009'!B150</f>
        <v>ООО "ВИЗАВИ" аренда зала для проведения общего собрания</v>
      </c>
      <c r="B110" s="17">
        <f>'ОДДС 2009'!C150</f>
        <v>6125</v>
      </c>
      <c r="C110" s="4">
        <f>'ОДДС 2009'!C252</f>
        <v>6125</v>
      </c>
      <c r="D110" s="4">
        <f t="shared" si="1"/>
        <v>0</v>
      </c>
    </row>
    <row r="111" spans="1:4" ht="15">
      <c r="A111" s="3" t="str">
        <f>'ОДДС 2009'!B151</f>
        <v>Корелина И.А.</v>
      </c>
      <c r="B111" s="17">
        <f>'ОДДС 2009'!C151</f>
        <v>10201.86</v>
      </c>
      <c r="C111" s="4">
        <f>'ОДДС 2009'!C253</f>
        <v>10201.86</v>
      </c>
      <c r="D111" s="4">
        <f t="shared" si="1"/>
        <v>0</v>
      </c>
    </row>
    <row r="112" spans="1:4" ht="39">
      <c r="A112" s="9" t="str">
        <f>'ОДДС 2009'!B152</f>
        <v>ремонт кафельной плитки в подъездах договор подряда №3</v>
      </c>
      <c r="B112" s="90">
        <f>'ОДДС 2009'!C152</f>
        <v>6508.26</v>
      </c>
      <c r="C112" s="5">
        <f>'ОДДС 2009'!C254</f>
        <v>6508.26</v>
      </c>
      <c r="D112" s="5">
        <f aca="true" t="shared" si="2" ref="D112:D143">B112-C112</f>
        <v>0</v>
      </c>
    </row>
    <row r="113" spans="1:4" ht="26.25">
      <c r="A113" s="9" t="str">
        <f>'ОДДС 2009'!B153</f>
        <v>Корелина И.А. покраска забора договор подряда №5</v>
      </c>
      <c r="B113" s="90">
        <f>'ОДДС 2009'!C153</f>
        <v>3693.6</v>
      </c>
      <c r="C113" s="5">
        <f>'ОДДС 2009'!C255</f>
        <v>3693.6</v>
      </c>
      <c r="D113" s="5">
        <f t="shared" si="2"/>
        <v>0</v>
      </c>
    </row>
    <row r="114" spans="1:4" ht="15">
      <c r="A114" s="3" t="str">
        <f>'ОДДС 2009'!B154</f>
        <v>Богданов М.И.</v>
      </c>
      <c r="B114" s="17">
        <f>'ОДДС 2009'!C154</f>
        <v>10482.3</v>
      </c>
      <c r="C114" s="4">
        <f>'ОДДС 2009'!C256</f>
        <v>10482.3</v>
      </c>
      <c r="D114" s="4">
        <f t="shared" si="2"/>
        <v>0</v>
      </c>
    </row>
    <row r="115" spans="1:4" ht="26.25">
      <c r="A115" s="9" t="str">
        <f>'ОДДС 2009'!B155</f>
        <v>сварочные работы на стояке ГВС договор подряда №6</v>
      </c>
      <c r="B115" s="90">
        <f>'ОДДС 2009'!C155</f>
        <v>3930.72</v>
      </c>
      <c r="C115" s="5">
        <f>'ОДДС 2009'!C257</f>
        <v>3930.7200000000003</v>
      </c>
      <c r="D115" s="5">
        <f t="shared" si="2"/>
        <v>0</v>
      </c>
    </row>
    <row r="116" spans="1:4" ht="39">
      <c r="A116" s="9" t="str">
        <f>'ОДДС 2009'!B156</f>
        <v>сварочные работы демонтаж-монтаж расходомера ХВС договор подряда №7</v>
      </c>
      <c r="B116" s="90">
        <f>'ОДДС 2009'!C156</f>
        <v>3930.72</v>
      </c>
      <c r="C116" s="5">
        <f>'ОДДС 2009'!C258</f>
        <v>3930.7200000000003</v>
      </c>
      <c r="D116" s="5">
        <f t="shared" si="2"/>
        <v>0</v>
      </c>
    </row>
    <row r="117" spans="1:4" ht="26.25">
      <c r="A117" s="9" t="str">
        <f>'ОДДС 2009'!B157</f>
        <v>прокос газонов договор подряда №8</v>
      </c>
      <c r="B117" s="90">
        <f>'ОДДС 2009'!C157</f>
        <v>2620.86</v>
      </c>
      <c r="C117" s="5">
        <f>'ОДДС 2009'!C259</f>
        <v>2620.86</v>
      </c>
      <c r="D117" s="5">
        <f t="shared" si="2"/>
        <v>0</v>
      </c>
    </row>
    <row r="118" spans="1:4" ht="26.25">
      <c r="A118" s="3" t="str">
        <f>'ОДДС 2009'!B158</f>
        <v>Марков А.А. прокос газонов договор подряда №9</v>
      </c>
      <c r="B118" s="17">
        <f>'ОДДС 2009'!C158</f>
        <v>2620.86</v>
      </c>
      <c r="C118" s="4">
        <f>'ОДДС 2009'!C260</f>
        <v>2620.86</v>
      </c>
      <c r="D118" s="4">
        <f t="shared" si="2"/>
        <v>0</v>
      </c>
    </row>
    <row r="119" spans="1:4" ht="15">
      <c r="A119" s="3" t="str">
        <f>'ОДДС 2009'!B159</f>
        <v>Зеленый В.А.</v>
      </c>
      <c r="B119" s="17">
        <f>'ОДДС 2009'!C159</f>
        <v>18344.879999999997</v>
      </c>
      <c r="C119" s="4">
        <f>'ОДДС 2009'!C261</f>
        <v>18344.879999999997</v>
      </c>
      <c r="D119" s="4">
        <f t="shared" si="2"/>
        <v>0</v>
      </c>
    </row>
    <row r="120" spans="1:4" ht="26.25">
      <c r="A120" s="9" t="str">
        <f>'ОДДС 2009'!B160</f>
        <v>подготовка 2 ИТП к пуску тепла договор подряда № 11</v>
      </c>
      <c r="B120" s="90">
        <f>'ОДДС 2009'!C160</f>
        <v>10482.3</v>
      </c>
      <c r="C120" s="5">
        <f>'ОДДС 2009'!C262</f>
        <v>10482.3</v>
      </c>
      <c r="D120" s="5">
        <f t="shared" si="2"/>
        <v>0</v>
      </c>
    </row>
    <row r="121" spans="1:4" ht="39">
      <c r="A121" s="9" t="str">
        <f>'ОДДС 2009'!B161</f>
        <v>установка регулир. арматуры на стояки подъездов договор подряда № 12</v>
      </c>
      <c r="B121" s="90">
        <f>'ОДДС 2009'!C161</f>
        <v>7862.58</v>
      </c>
      <c r="C121" s="5">
        <f>'ОДДС 2009'!C263</f>
        <v>7862.58</v>
      </c>
      <c r="D121" s="5">
        <f t="shared" si="2"/>
        <v>0</v>
      </c>
    </row>
    <row r="122" spans="1:4" ht="15">
      <c r="A122" s="3" t="str">
        <f>'ОДДС 2009'!B162</f>
        <v>АВАНСОВЫЕ ОТЧЕТЫ</v>
      </c>
      <c r="B122" s="4">
        <f>'ОДДС 2009'!C162</f>
        <v>100438.45000000001</v>
      </c>
      <c r="C122" s="4">
        <f>'ОДДС 2009'!C264</f>
        <v>100438.45000000001</v>
      </c>
      <c r="D122" s="4">
        <f t="shared" si="2"/>
        <v>0</v>
      </c>
    </row>
    <row r="123" spans="1:4" ht="15">
      <c r="A123" s="9" t="str">
        <f>'ОДДС 2009'!B163</f>
        <v>почтовые расходы</v>
      </c>
      <c r="B123" s="90">
        <f>'ОДДС 2009'!C163</f>
        <v>5460.73</v>
      </c>
      <c r="C123" s="5">
        <f>'ОДДС 2009'!C265</f>
        <v>5460.73</v>
      </c>
      <c r="D123" s="5">
        <f t="shared" si="2"/>
        <v>0</v>
      </c>
    </row>
    <row r="124" spans="1:4" ht="15">
      <c r="A124" s="9" t="str">
        <f>'ОДДС 2009'!B164</f>
        <v>канцелярские расходы</v>
      </c>
      <c r="B124" s="90">
        <f>'ОДДС 2009'!C164</f>
        <v>4403.64</v>
      </c>
      <c r="C124" s="5">
        <f>'ОДДС 2009'!C266</f>
        <v>4403.64</v>
      </c>
      <c r="D124" s="5">
        <f t="shared" si="2"/>
        <v>0</v>
      </c>
    </row>
    <row r="125" spans="1:4" ht="15">
      <c r="A125" s="9" t="str">
        <f>'ОДДС 2009'!B165</f>
        <v>семинары, обучение</v>
      </c>
      <c r="B125" s="90">
        <f>'ОДДС 2009'!C165</f>
        <v>700</v>
      </c>
      <c r="C125" s="5">
        <f>'ОДДС 2009'!C267</f>
        <v>700</v>
      </c>
      <c r="D125" s="5">
        <f t="shared" si="2"/>
        <v>0</v>
      </c>
    </row>
    <row r="126" spans="1:4" ht="15">
      <c r="A126" s="9" t="str">
        <f>'ОДДС 2009'!B166</f>
        <v>электрозапчасти и лампы</v>
      </c>
      <c r="B126" s="90">
        <f>'ОДДС 2009'!C166</f>
        <v>380</v>
      </c>
      <c r="C126" s="5">
        <f>'ОДДС 2009'!C268</f>
        <v>380</v>
      </c>
      <c r="D126" s="5">
        <f t="shared" si="2"/>
        <v>0</v>
      </c>
    </row>
    <row r="127" spans="1:4" ht="26.25">
      <c r="A127" s="9" t="str">
        <f>'ОДДС 2009'!B167</f>
        <v>общедомовые водомеры ХВС, ГВС</v>
      </c>
      <c r="B127" s="90">
        <f>'ОДДС 2009'!C167</f>
        <v>7718.2</v>
      </c>
      <c r="C127" s="5">
        <f>'ОДДС 2009'!C269</f>
        <v>7718.2</v>
      </c>
      <c r="D127" s="5">
        <f t="shared" si="2"/>
        <v>0</v>
      </c>
    </row>
    <row r="128" spans="1:4" ht="15">
      <c r="A128" s="9" t="str">
        <f>'ОДДС 2009'!B168</f>
        <v>хозтовары</v>
      </c>
      <c r="B128" s="90">
        <f>'ОДДС 2009'!C168</f>
        <v>523</v>
      </c>
      <c r="C128" s="5">
        <f>'ОДДС 2009'!C270</f>
        <v>523</v>
      </c>
      <c r="D128" s="5">
        <f t="shared" si="2"/>
        <v>0</v>
      </c>
    </row>
    <row r="129" spans="1:4" ht="15">
      <c r="A129" s="9" t="str">
        <f>'ОДДС 2009'!B169</f>
        <v>инструмент и МБП</v>
      </c>
      <c r="B129" s="90">
        <f>'ОДДС 2009'!C169</f>
        <v>18741.88</v>
      </c>
      <c r="C129" s="5">
        <f>'ОДДС 2009'!C271</f>
        <v>18741.879999999997</v>
      </c>
      <c r="D129" s="5">
        <f t="shared" si="2"/>
        <v>0</v>
      </c>
    </row>
    <row r="130" spans="1:4" ht="26.25">
      <c r="A130" s="9" t="str">
        <f>'ОДДС 2009'!B170</f>
        <v>лакокрасочные материалы,кисти,щетки</v>
      </c>
      <c r="B130" s="90">
        <f>'ОДДС 2009'!C170</f>
        <v>6392.49</v>
      </c>
      <c r="C130" s="5">
        <f>'ОДДС 2009'!C272</f>
        <v>6392.49</v>
      </c>
      <c r="D130" s="5">
        <f t="shared" si="2"/>
        <v>0</v>
      </c>
    </row>
    <row r="131" spans="1:4" ht="15">
      <c r="A131" s="9" t="str">
        <f>'ОДДС 2009'!B171</f>
        <v>кафель, клей</v>
      </c>
      <c r="B131" s="90">
        <f>'ОДДС 2009'!C171</f>
        <v>2387.67</v>
      </c>
      <c r="C131" s="5">
        <f>'ОДДС 2009'!C273</f>
        <v>2387.67</v>
      </c>
      <c r="D131" s="5">
        <f t="shared" si="2"/>
        <v>0</v>
      </c>
    </row>
    <row r="132" spans="1:4" ht="15">
      <c r="A132" s="9" t="str">
        <f>'ОДДС 2009'!B172</f>
        <v>метизы, крепеж</v>
      </c>
      <c r="B132" s="90">
        <f>'ОДДС 2009'!C172</f>
        <v>2169.39</v>
      </c>
      <c r="C132" s="5">
        <f>'ОДДС 2009'!C274</f>
        <v>2169.39</v>
      </c>
      <c r="D132" s="5">
        <f t="shared" si="2"/>
        <v>0</v>
      </c>
    </row>
    <row r="133" spans="1:4" ht="15">
      <c r="A133" s="9" t="str">
        <f>'ОДДС 2009'!B173</f>
        <v>войлок, защелки, шпингалеты</v>
      </c>
      <c r="B133" s="90">
        <f>'ОДДС 2009'!C173</f>
        <v>6770</v>
      </c>
      <c r="C133" s="5">
        <f>'ОДДС 2009'!C275</f>
        <v>6770</v>
      </c>
      <c r="D133" s="5">
        <f t="shared" si="2"/>
        <v>0</v>
      </c>
    </row>
    <row r="134" spans="1:4" ht="26.25">
      <c r="A134" s="9" t="str">
        <f>'ОДДС 2009'!B174</f>
        <v>оргтехника (ПК, МФУ, картриджи)</v>
      </c>
      <c r="B134" s="90">
        <f>'ОДДС 2009'!C174</f>
        <v>34585</v>
      </c>
      <c r="C134" s="5">
        <f>'ОДДС 2009'!C276</f>
        <v>34585</v>
      </c>
      <c r="D134" s="5">
        <f t="shared" si="2"/>
        <v>0</v>
      </c>
    </row>
    <row r="135" spans="1:4" ht="15">
      <c r="A135" s="9" t="str">
        <f>'ОДДС 2009'!B175</f>
        <v>сантехматериалы</v>
      </c>
      <c r="B135" s="90">
        <f>'ОДДС 2009'!C175</f>
        <v>318.2</v>
      </c>
      <c r="C135" s="5">
        <f>'ОДДС 2009'!C277</f>
        <v>318.2</v>
      </c>
      <c r="D135" s="5">
        <f t="shared" si="2"/>
        <v>0</v>
      </c>
    </row>
    <row r="136" spans="1:4" ht="15">
      <c r="A136" s="9" t="str">
        <f>'ОДДС 2009'!B176</f>
        <v>клумбы бетонные 4 шт.</v>
      </c>
      <c r="B136" s="90">
        <f>'ОДДС 2009'!C176</f>
        <v>2400</v>
      </c>
      <c r="C136" s="5">
        <f>'ОДДС 2009'!C278</f>
        <v>2400</v>
      </c>
      <c r="D136" s="5">
        <f t="shared" si="2"/>
        <v>0</v>
      </c>
    </row>
    <row r="137" spans="1:4" ht="15">
      <c r="A137" s="9" t="str">
        <f>'ОДДС 2009'!B177</f>
        <v>расходы 2008 года</v>
      </c>
      <c r="B137" s="90">
        <f>'ОДДС 2009'!C177</f>
        <v>7488.25</v>
      </c>
      <c r="C137" s="5">
        <f>'ОДДС 2009'!C279</f>
        <v>7488.25</v>
      </c>
      <c r="D137" s="5">
        <f t="shared" si="2"/>
        <v>0</v>
      </c>
    </row>
    <row r="138" spans="1:4" ht="15">
      <c r="A138" s="3" t="str">
        <f>'ОДДС 2009'!B178</f>
        <v>Прочие расходы</v>
      </c>
      <c r="B138" s="17">
        <f>'ОДДС 2009'!C178</f>
        <v>8239</v>
      </c>
      <c r="C138" s="4">
        <f>'ОДДС 2009'!C280</f>
        <v>8239</v>
      </c>
      <c r="D138" s="4">
        <f t="shared" si="2"/>
        <v>0</v>
      </c>
    </row>
    <row r="139" spans="1:4" ht="15">
      <c r="A139" s="3" t="str">
        <f>'ОДДС 2009'!B179</f>
        <v>Налог на УСН</v>
      </c>
      <c r="B139" s="17">
        <f>'ОДДС 2009'!C179</f>
        <v>16600</v>
      </c>
      <c r="C139" s="4">
        <f>'ОДДС 2009'!C281</f>
        <v>16600</v>
      </c>
      <c r="D139" s="4">
        <f t="shared" si="2"/>
        <v>0</v>
      </c>
    </row>
    <row r="140" spans="1:4" ht="15">
      <c r="A140" s="3" t="str">
        <f>'ОДДС 2009'!B180</f>
        <v>ЕМУП "Спецавтобаза"</v>
      </c>
      <c r="B140" s="11">
        <f>'ОДДС 2009'!C180</f>
        <v>277958.01</v>
      </c>
      <c r="C140" s="4">
        <f>'ОДДС 2009'!C282</f>
        <v>168799.17</v>
      </c>
      <c r="D140" s="4">
        <f t="shared" si="2"/>
        <v>109158.84</v>
      </c>
    </row>
    <row r="141" spans="1:4" ht="15">
      <c r="A141" s="3" t="str">
        <f>'ОДДС 2009'!B181</f>
        <v>МУП "Водоканал"</v>
      </c>
      <c r="B141" s="11">
        <f>'ОДДС 2009'!C181</f>
        <v>614697.52</v>
      </c>
      <c r="C141" s="4">
        <f>'ОДДС 2009'!C283</f>
        <v>458257.11000000004</v>
      </c>
      <c r="D141" s="4">
        <f t="shared" si="2"/>
        <v>156440.40999999997</v>
      </c>
    </row>
    <row r="142" spans="1:4" ht="15">
      <c r="A142" s="3" t="str">
        <f>'ОДДС 2009'!B182</f>
        <v>ОАО "МК "Уралметпром"</v>
      </c>
      <c r="B142" s="11">
        <f>'ОДДС 2009'!C182</f>
        <v>1497231.3599999999</v>
      </c>
      <c r="C142" s="4">
        <f>'ОДДС 2009'!C284</f>
        <v>1083743.64</v>
      </c>
      <c r="D142" s="4">
        <f t="shared" si="2"/>
        <v>413487.72</v>
      </c>
    </row>
    <row r="143" spans="1:4" ht="26.25">
      <c r="A143" s="3" t="str">
        <f>'ОДДС 2009'!B183</f>
        <v>ОАО "Екатеринбургэнергосбыт"</v>
      </c>
      <c r="B143" s="11">
        <f>'ОДДС 2009'!C183</f>
        <v>2105115.81</v>
      </c>
      <c r="C143" s="4">
        <f>'ОДДС 2009'!C285</f>
        <v>1638571.8900000001</v>
      </c>
      <c r="D143" s="4">
        <f t="shared" si="2"/>
        <v>466543.9199999999</v>
      </c>
    </row>
    <row r="144" spans="1:5" ht="15">
      <c r="A144" s="24" t="s">
        <v>159</v>
      </c>
      <c r="B144" s="100">
        <f>'ОДДС 2009'!C184</f>
        <v>7138197.909999998</v>
      </c>
      <c r="C144" s="100">
        <f>'ОДДС 2009'!C286</f>
        <v>5903576.049999999</v>
      </c>
      <c r="D144" s="100">
        <f>B144-C144</f>
        <v>1234621.8599999994</v>
      </c>
      <c r="E144" s="164">
        <f>C144/B144</f>
        <v>0.8270401191496245</v>
      </c>
    </row>
    <row r="145" spans="1:4" ht="15">
      <c r="A145" s="24"/>
      <c r="B145" s="12"/>
      <c r="C145" s="12"/>
      <c r="D145" s="12"/>
    </row>
    <row r="146" spans="1:4" ht="15">
      <c r="A146" s="32" t="s">
        <v>158</v>
      </c>
      <c r="B146" s="23" t="s">
        <v>144</v>
      </c>
      <c r="C146" s="23" t="s">
        <v>145</v>
      </c>
      <c r="D146" s="12"/>
    </row>
    <row r="147" spans="1:3" ht="30">
      <c r="A147" s="26" t="s">
        <v>148</v>
      </c>
      <c r="B147" s="25">
        <f>B41-B144</f>
        <v>-61737.819999998435</v>
      </c>
      <c r="C147" s="25">
        <f>D43-D144</f>
        <v>-55299.509999997914</v>
      </c>
    </row>
    <row r="148" spans="1:3" ht="33" customHeight="1">
      <c r="A148" s="154" t="s">
        <v>149</v>
      </c>
      <c r="B148" s="154"/>
      <c r="C148" s="154"/>
    </row>
    <row r="149" spans="1:3" ht="15">
      <c r="A149" s="3" t="s">
        <v>73</v>
      </c>
      <c r="B149" s="25">
        <f>B141-B15-B18-B24</f>
        <v>26177.880000000063</v>
      </c>
      <c r="C149" s="25">
        <f>B149</f>
        <v>26177.880000000063</v>
      </c>
    </row>
    <row r="150" spans="1:3" ht="15">
      <c r="A150" s="3" t="s">
        <v>74</v>
      </c>
      <c r="B150" s="25">
        <f>B142-B11-B21</f>
        <v>-15291.210000000137</v>
      </c>
      <c r="C150" s="25">
        <f>B150</f>
        <v>-15291.210000000137</v>
      </c>
    </row>
    <row r="151" spans="1:3" ht="26.25">
      <c r="A151" s="3" t="s">
        <v>75</v>
      </c>
      <c r="B151" s="25">
        <f>B143-B27</f>
        <v>147102.6900000004</v>
      </c>
      <c r="C151" s="25">
        <f>B151</f>
        <v>147102.6900000004</v>
      </c>
    </row>
    <row r="152" spans="1:4" ht="45">
      <c r="A152" s="26" t="s">
        <v>150</v>
      </c>
      <c r="B152" s="25">
        <f>B147+B149+B151</f>
        <v>111542.75000000204</v>
      </c>
      <c r="C152" s="25">
        <f>C147+C149+C151</f>
        <v>117981.06000000256</v>
      </c>
      <c r="D152" s="94"/>
    </row>
    <row r="153" spans="1:3" ht="45">
      <c r="A153" s="29" t="s">
        <v>327</v>
      </c>
      <c r="B153" s="30"/>
      <c r="C153" s="31">
        <f>SUM(C154:C159)</f>
        <v>178140.5</v>
      </c>
    </row>
    <row r="154" spans="1:3" ht="30">
      <c r="A154" s="26" t="s">
        <v>157</v>
      </c>
      <c r="B154" s="28"/>
      <c r="C154" s="25">
        <v>29500</v>
      </c>
    </row>
    <row r="155" spans="1:3" ht="30">
      <c r="A155" s="26" t="s">
        <v>311</v>
      </c>
      <c r="B155" s="28"/>
      <c r="C155" s="25">
        <v>10748.25</v>
      </c>
    </row>
    <row r="156" spans="1:3" ht="30">
      <c r="A156" s="26" t="s">
        <v>154</v>
      </c>
      <c r="B156" s="28"/>
      <c r="C156" s="25">
        <v>60900</v>
      </c>
    </row>
    <row r="157" spans="1:3" ht="30">
      <c r="A157" s="26" t="s">
        <v>155</v>
      </c>
      <c r="B157" s="28"/>
      <c r="C157" s="25">
        <v>34585</v>
      </c>
    </row>
    <row r="158" spans="1:3" ht="30">
      <c r="A158" s="26" t="s">
        <v>47</v>
      </c>
      <c r="B158" s="28"/>
      <c r="C158" s="25">
        <v>31986.01</v>
      </c>
    </row>
    <row r="159" spans="1:3" ht="15">
      <c r="A159" s="26" t="s">
        <v>156</v>
      </c>
      <c r="B159" s="28"/>
      <c r="C159" s="25">
        <v>10421.24</v>
      </c>
    </row>
  </sheetData>
  <sheetProtection/>
  <mergeCells count="4">
    <mergeCell ref="A1:C1"/>
    <mergeCell ref="A148:C148"/>
    <mergeCell ref="A42:C42"/>
    <mergeCell ref="A43:C43"/>
  </mergeCells>
  <printOptions/>
  <pageMargins left="0.7086614173228347" right="0.7086614173228347" top="0.35433070866141736" bottom="0.15748031496062992" header="0.31496062992125984" footer="0.31496062992125984"/>
  <pageSetup fitToHeight="6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5"/>
  <sheetViews>
    <sheetView zoomScale="85" zoomScaleNormal="85" zoomScalePageLayoutView="0" workbookViewId="0" topLeftCell="A116">
      <selection activeCell="A1" sqref="A1:J135"/>
    </sheetView>
  </sheetViews>
  <sheetFormatPr defaultColWidth="9.140625" defaultRowHeight="15"/>
  <cols>
    <col min="1" max="1" width="4.00390625" style="33" customWidth="1"/>
    <col min="2" max="2" width="6.421875" style="33" customWidth="1"/>
    <col min="3" max="3" width="67.140625" style="33" customWidth="1"/>
    <col min="4" max="4" width="12.7109375" style="33" customWidth="1"/>
    <col min="5" max="5" width="10.8515625" style="33" customWidth="1"/>
    <col min="6" max="6" width="8.57421875" style="33" customWidth="1"/>
    <col min="7" max="9" width="15.421875" style="33" customWidth="1"/>
    <col min="10" max="10" width="18.28125" style="33" customWidth="1"/>
    <col min="11" max="11" width="11.57421875" style="33" customWidth="1"/>
    <col min="12" max="12" width="10.28125" style="33" bestFit="1" customWidth="1"/>
    <col min="13" max="13" width="17.8515625" style="33" customWidth="1"/>
    <col min="14" max="16384" width="9.140625" style="33" customWidth="1"/>
  </cols>
  <sheetData>
    <row r="1" spans="2:10" ht="15">
      <c r="B1" s="33" t="s">
        <v>329</v>
      </c>
      <c r="G1" s="34" t="s">
        <v>160</v>
      </c>
      <c r="H1" s="34"/>
      <c r="I1" s="34"/>
      <c r="J1" s="34"/>
    </row>
    <row r="3" spans="3:10" ht="15">
      <c r="C3" s="35" t="s">
        <v>161</v>
      </c>
      <c r="G3" s="34" t="s">
        <v>324</v>
      </c>
      <c r="H3" s="34"/>
      <c r="I3" s="34"/>
      <c r="J3" s="34"/>
    </row>
    <row r="4" spans="3:10" ht="19.5" customHeight="1">
      <c r="C4" s="35" t="s">
        <v>162</v>
      </c>
      <c r="G4" s="145" t="s">
        <v>325</v>
      </c>
      <c r="H4" s="34"/>
      <c r="I4" s="34"/>
      <c r="J4" s="34"/>
    </row>
    <row r="5" spans="3:7" ht="15">
      <c r="C5" s="35" t="s">
        <v>163</v>
      </c>
      <c r="G5" s="34" t="s">
        <v>323</v>
      </c>
    </row>
    <row r="6" ht="15">
      <c r="C6" s="35"/>
    </row>
    <row r="7" spans="2:10" ht="15">
      <c r="B7" s="36"/>
      <c r="C7" s="37" t="s">
        <v>164</v>
      </c>
      <c r="D7" s="38" t="s">
        <v>165</v>
      </c>
      <c r="E7" s="157" t="s">
        <v>166</v>
      </c>
      <c r="F7" s="157"/>
      <c r="G7" s="91" t="s">
        <v>301</v>
      </c>
      <c r="H7" s="38" t="s">
        <v>326</v>
      </c>
      <c r="I7" s="39"/>
      <c r="J7" s="39"/>
    </row>
    <row r="8" spans="2:10" ht="15">
      <c r="B8" s="36">
        <v>1</v>
      </c>
      <c r="C8" s="37" t="s">
        <v>167</v>
      </c>
      <c r="D8" s="40">
        <v>15132.4</v>
      </c>
      <c r="E8" s="158">
        <v>0.820393270914542</v>
      </c>
      <c r="F8" s="158"/>
      <c r="G8" s="40">
        <f>H25/12/12.5</f>
        <v>14770.56046666667</v>
      </c>
      <c r="H8" s="40">
        <f>D8-G8</f>
        <v>361.8395333333301</v>
      </c>
      <c r="I8" s="41"/>
      <c r="J8" s="41"/>
    </row>
    <row r="9" spans="2:10" ht="15">
      <c r="B9" s="36">
        <v>2</v>
      </c>
      <c r="C9" s="37" t="s">
        <v>168</v>
      </c>
      <c r="D9" s="40">
        <v>1858.7</v>
      </c>
      <c r="E9" s="158">
        <v>0.10076821737786862</v>
      </c>
      <c r="F9" s="158"/>
      <c r="G9" s="40">
        <f>H26/12/12.5</f>
        <v>1841.1416666666667</v>
      </c>
      <c r="H9" s="40">
        <f>D9-G9</f>
        <v>17.558333333333394</v>
      </c>
      <c r="I9" s="41"/>
      <c r="J9" s="41"/>
    </row>
    <row r="10" spans="2:10" ht="15">
      <c r="B10" s="36">
        <v>3</v>
      </c>
      <c r="C10" s="37" t="s">
        <v>169</v>
      </c>
      <c r="D10" s="40">
        <v>1454.2</v>
      </c>
      <c r="E10" s="158">
        <v>0.07883851170758947</v>
      </c>
      <c r="F10" s="158"/>
      <c r="G10" s="40">
        <f>H27/12/5</f>
        <v>1454.2</v>
      </c>
      <c r="H10" s="40">
        <f>D10-G10</f>
        <v>0</v>
      </c>
      <c r="I10" s="41"/>
      <c r="J10" s="41"/>
    </row>
    <row r="11" spans="2:10" s="46" customFormat="1" ht="15">
      <c r="B11" s="42"/>
      <c r="C11" s="43" t="s">
        <v>170</v>
      </c>
      <c r="D11" s="44">
        <v>18445.3</v>
      </c>
      <c r="E11" s="159">
        <v>1</v>
      </c>
      <c r="F11" s="159"/>
      <c r="G11" s="44">
        <f>H29/12/1.5</f>
        <v>18058.047777777774</v>
      </c>
      <c r="H11" s="146">
        <f>D11-G11</f>
        <v>387.2522222222251</v>
      </c>
      <c r="I11" s="41"/>
      <c r="J11" s="41"/>
    </row>
    <row r="12" spans="2:10" ht="15">
      <c r="B12" s="36">
        <v>4</v>
      </c>
      <c r="C12" s="37" t="s">
        <v>171</v>
      </c>
      <c r="D12" s="47">
        <v>8</v>
      </c>
      <c r="E12" s="48"/>
      <c r="F12" s="45"/>
      <c r="G12" s="49"/>
      <c r="H12" s="49"/>
      <c r="I12" s="49"/>
      <c r="J12" s="49"/>
    </row>
    <row r="13" spans="2:10" ht="15">
      <c r="B13" s="36">
        <v>5</v>
      </c>
      <c r="C13" s="37" t="s">
        <v>172</v>
      </c>
      <c r="D13" s="47">
        <v>7</v>
      </c>
      <c r="E13" s="48"/>
      <c r="F13" s="45"/>
      <c r="H13" s="49">
        <f>H11*14*12</f>
        <v>65058.37333333382</v>
      </c>
      <c r="I13" s="49"/>
      <c r="J13" s="49"/>
    </row>
    <row r="14" spans="2:10" ht="15">
      <c r="B14" s="36">
        <v>6</v>
      </c>
      <c r="C14" s="37" t="s">
        <v>173</v>
      </c>
      <c r="D14" s="47">
        <v>210</v>
      </c>
      <c r="E14" s="48"/>
      <c r="F14" s="45"/>
      <c r="G14" s="49"/>
      <c r="H14" s="49"/>
      <c r="I14" s="49"/>
      <c r="J14" s="49"/>
    </row>
    <row r="15" spans="2:10" ht="15">
      <c r="B15" s="36">
        <v>7</v>
      </c>
      <c r="C15" s="37" t="s">
        <v>174</v>
      </c>
      <c r="D15" s="47">
        <v>15</v>
      </c>
      <c r="E15" s="48"/>
      <c r="F15" s="45"/>
      <c r="G15" s="49"/>
      <c r="H15" s="49"/>
      <c r="I15" s="49"/>
      <c r="J15" s="49"/>
    </row>
    <row r="16" spans="2:10" ht="15">
      <c r="B16" s="36">
        <v>8</v>
      </c>
      <c r="C16" s="37" t="s">
        <v>175</v>
      </c>
      <c r="D16" s="47">
        <v>74</v>
      </c>
      <c r="E16" s="48"/>
      <c r="F16" s="45"/>
      <c r="G16" s="49"/>
      <c r="H16" s="49"/>
      <c r="I16" s="49"/>
      <c r="J16" s="49"/>
    </row>
    <row r="17" spans="2:10" s="46" customFormat="1" ht="15">
      <c r="B17" s="42"/>
      <c r="C17" s="43"/>
      <c r="F17" s="44"/>
      <c r="G17" s="44"/>
      <c r="H17" s="44"/>
      <c r="I17" s="44"/>
      <c r="J17" s="44"/>
    </row>
    <row r="18" spans="2:11" ht="39" customHeight="1">
      <c r="B18" s="163" t="s">
        <v>0</v>
      </c>
      <c r="C18" s="163" t="s">
        <v>176</v>
      </c>
      <c r="D18" s="163" t="s">
        <v>177</v>
      </c>
      <c r="E18" s="163"/>
      <c r="F18" s="163"/>
      <c r="G18" s="160" t="s">
        <v>178</v>
      </c>
      <c r="H18" s="157" t="s">
        <v>304</v>
      </c>
      <c r="I18" s="157" t="s">
        <v>305</v>
      </c>
      <c r="J18" s="160" t="s">
        <v>306</v>
      </c>
      <c r="K18" s="156" t="s">
        <v>308</v>
      </c>
    </row>
    <row r="19" spans="2:11" ht="36.75" customHeight="1">
      <c r="B19" s="163"/>
      <c r="C19" s="163"/>
      <c r="D19" s="36" t="s">
        <v>179</v>
      </c>
      <c r="E19" s="36" t="s">
        <v>180</v>
      </c>
      <c r="F19" s="36" t="s">
        <v>181</v>
      </c>
      <c r="G19" s="161"/>
      <c r="H19" s="162"/>
      <c r="I19" s="162"/>
      <c r="J19" s="161"/>
      <c r="K19" s="156"/>
    </row>
    <row r="20" spans="2:10" ht="13.5" customHeight="1">
      <c r="B20" s="36">
        <v>1</v>
      </c>
      <c r="C20" s="36">
        <v>2</v>
      </c>
      <c r="D20" s="36">
        <v>3</v>
      </c>
      <c r="E20" s="36">
        <v>4</v>
      </c>
      <c r="F20" s="36">
        <v>5</v>
      </c>
      <c r="G20" s="36">
        <v>6</v>
      </c>
      <c r="H20" s="36"/>
      <c r="I20" s="36"/>
      <c r="J20" s="36"/>
    </row>
    <row r="21" spans="2:10" ht="15.75">
      <c r="B21" s="50">
        <v>1</v>
      </c>
      <c r="C21" s="51" t="s">
        <v>182</v>
      </c>
      <c r="D21" s="36"/>
      <c r="E21" s="36"/>
      <c r="F21" s="36"/>
      <c r="G21" s="36"/>
      <c r="H21" s="36"/>
      <c r="I21" s="36"/>
      <c r="J21" s="36"/>
    </row>
    <row r="22" spans="2:10" ht="15.75">
      <c r="B22" s="52" t="s">
        <v>183</v>
      </c>
      <c r="C22" s="53" t="s">
        <v>184</v>
      </c>
      <c r="D22" s="54">
        <v>0</v>
      </c>
      <c r="E22" s="54"/>
      <c r="F22" s="54"/>
      <c r="G22" s="54"/>
      <c r="H22" s="54"/>
      <c r="I22" s="54"/>
      <c r="J22" s="54"/>
    </row>
    <row r="23" spans="2:10" ht="15.75">
      <c r="B23" s="52" t="s">
        <v>185</v>
      </c>
      <c r="C23" s="53" t="s">
        <v>186</v>
      </c>
      <c r="D23" s="54">
        <v>0</v>
      </c>
      <c r="E23" s="54"/>
      <c r="F23" s="54"/>
      <c r="G23" s="54"/>
      <c r="H23" s="54"/>
      <c r="I23" s="54"/>
      <c r="J23" s="54"/>
    </row>
    <row r="24" spans="2:13" ht="31.5">
      <c r="B24" s="52" t="s">
        <v>187</v>
      </c>
      <c r="C24" s="53" t="s">
        <v>188</v>
      </c>
      <c r="D24" s="54">
        <v>2636455.500075</v>
      </c>
      <c r="E24" s="54">
        <v>219704.62500625</v>
      </c>
      <c r="F24" s="55"/>
      <c r="G24" s="55"/>
      <c r="H24" s="68">
        <f>SUM(H25:H27)</f>
        <v>2579007.3200000003</v>
      </c>
      <c r="I24" s="68">
        <f>SUM(I25:I27)</f>
        <v>2204054.3699999996</v>
      </c>
      <c r="J24" s="68">
        <f>H24-I24</f>
        <v>374952.95000000065</v>
      </c>
      <c r="K24" s="56"/>
      <c r="M24" s="63"/>
    </row>
    <row r="25" spans="2:13" ht="15">
      <c r="B25" s="57"/>
      <c r="C25" s="58" t="s">
        <v>189</v>
      </c>
      <c r="D25" s="55">
        <v>2270274.938295701</v>
      </c>
      <c r="E25" s="55">
        <v>189189.57819130842</v>
      </c>
      <c r="F25" s="27">
        <v>12.502285043437157</v>
      </c>
      <c r="G25" s="27" t="s">
        <v>190</v>
      </c>
      <c r="H25" s="27">
        <f>Сводный!B4</f>
        <v>2215584.0700000003</v>
      </c>
      <c r="I25" s="27">
        <f>Сводный!C4</f>
        <v>1890688.7199999997</v>
      </c>
      <c r="J25" s="27">
        <f aca="true" t="shared" si="0" ref="J25:J30">H25-I25</f>
        <v>324895.35000000056</v>
      </c>
      <c r="K25" s="93">
        <f aca="true" t="shared" si="1" ref="K25:K32">J25/H25</f>
        <v>0.1466409487228352</v>
      </c>
      <c r="M25" s="63">
        <f>SUM(D25:D30)</f>
        <v>3034470.900075</v>
      </c>
    </row>
    <row r="26" spans="2:13" ht="15">
      <c r="B26" s="57"/>
      <c r="C26" s="58" t="s">
        <v>191</v>
      </c>
      <c r="D26" s="55">
        <v>278855.96652283974</v>
      </c>
      <c r="E26" s="55">
        <v>23237.997210236645</v>
      </c>
      <c r="F26" s="27">
        <v>12.502285043437157</v>
      </c>
      <c r="G26" s="27" t="s">
        <v>190</v>
      </c>
      <c r="H26" s="27">
        <f>Сводный!B5</f>
        <v>276171.25</v>
      </c>
      <c r="I26" s="27">
        <f>Сводный!C5</f>
        <v>249574.56999999998</v>
      </c>
      <c r="J26" s="27">
        <f t="shared" si="0"/>
        <v>26596.680000000022</v>
      </c>
      <c r="K26" s="93">
        <f t="shared" si="1"/>
        <v>0.09630502813019104</v>
      </c>
      <c r="M26" s="63">
        <f>SUM(I25:I30)</f>
        <v>2571643.07</v>
      </c>
    </row>
    <row r="27" spans="2:13" ht="15">
      <c r="B27" s="57"/>
      <c r="C27" s="58" t="s">
        <v>192</v>
      </c>
      <c r="D27" s="55">
        <v>87324.5952564591</v>
      </c>
      <c r="E27" s="55">
        <v>7277.049604704925</v>
      </c>
      <c r="F27" s="27">
        <v>5.004160091256309</v>
      </c>
      <c r="G27" s="27" t="s">
        <v>190</v>
      </c>
      <c r="H27" s="27">
        <f>Сводный!B6</f>
        <v>87252</v>
      </c>
      <c r="I27" s="27">
        <f>Сводный!C6</f>
        <v>63791.08</v>
      </c>
      <c r="J27" s="27">
        <f t="shared" si="0"/>
        <v>23460.92</v>
      </c>
      <c r="K27" s="93">
        <f t="shared" si="1"/>
        <v>0.2688869023059643</v>
      </c>
      <c r="M27" s="147">
        <f>M26/M25</f>
        <v>0.8474765963108888</v>
      </c>
    </row>
    <row r="28" spans="2:13" ht="15.75">
      <c r="B28" s="52" t="s">
        <v>193</v>
      </c>
      <c r="C28" s="53" t="s">
        <v>194</v>
      </c>
      <c r="D28" s="54">
        <v>66000</v>
      </c>
      <c r="E28" s="54">
        <v>5500</v>
      </c>
      <c r="F28" s="54"/>
      <c r="G28" s="54"/>
      <c r="H28" s="54">
        <f>Сводный!B39</f>
        <v>95000</v>
      </c>
      <c r="I28" s="54">
        <f>Сводный!C39</f>
        <v>73000</v>
      </c>
      <c r="J28" s="54">
        <f t="shared" si="0"/>
        <v>22000</v>
      </c>
      <c r="K28" s="93">
        <f t="shared" si="1"/>
        <v>0.23157894736842105</v>
      </c>
      <c r="M28" s="63"/>
    </row>
    <row r="29" spans="2:13" ht="15.75">
      <c r="B29" s="52" t="s">
        <v>195</v>
      </c>
      <c r="C29" s="53" t="s">
        <v>83</v>
      </c>
      <c r="D29" s="54">
        <v>332015.39999999997</v>
      </c>
      <c r="E29" s="54">
        <v>27667.949999999997</v>
      </c>
      <c r="F29" s="27">
        <v>1.5</v>
      </c>
      <c r="G29" s="27" t="s">
        <v>190</v>
      </c>
      <c r="H29" s="68">
        <f>Сводный!B7</f>
        <v>325044.8599999999</v>
      </c>
      <c r="I29" s="68">
        <f>Сводный!C7</f>
        <v>275982.43</v>
      </c>
      <c r="J29" s="68">
        <f t="shared" si="0"/>
        <v>49062.429999999935</v>
      </c>
      <c r="K29" s="93">
        <f t="shared" si="1"/>
        <v>0.15094048864516715</v>
      </c>
      <c r="M29" s="63"/>
    </row>
    <row r="30" spans="2:13" ht="15.75">
      <c r="B30" s="52" t="s">
        <v>196</v>
      </c>
      <c r="C30" s="53" t="s">
        <v>312</v>
      </c>
      <c r="D30" s="54">
        <v>0</v>
      </c>
      <c r="E30" s="54">
        <v>0</v>
      </c>
      <c r="F30" s="27"/>
      <c r="G30" s="59"/>
      <c r="H30" s="89">
        <f>Сводный!B35+Сводный!B40</f>
        <v>23560.969999999998</v>
      </c>
      <c r="I30" s="89">
        <f>Сводный!C35+Сводный!C40</f>
        <v>18606.27</v>
      </c>
      <c r="J30" s="89">
        <f t="shared" si="0"/>
        <v>4954.699999999997</v>
      </c>
      <c r="K30" s="93">
        <f t="shared" si="1"/>
        <v>0.21029270017321008</v>
      </c>
      <c r="M30" s="63"/>
    </row>
    <row r="31" spans="2:13" ht="31.5">
      <c r="B31" s="52" t="s">
        <v>197</v>
      </c>
      <c r="C31" s="53" t="s">
        <v>198</v>
      </c>
      <c r="D31" s="54">
        <v>3000000</v>
      </c>
      <c r="E31" s="54">
        <v>250000</v>
      </c>
      <c r="F31" s="27"/>
      <c r="G31" s="59"/>
      <c r="H31" s="89">
        <f>Сводный!B11+Сводный!B15+Сводный!B18+Сводный!B21+Сводный!B24+Сводный!B27+Сводный!B31</f>
        <v>4053846.9399999995</v>
      </c>
      <c r="I31" s="89">
        <f>Сводный!C11+Сводный!C15+Сводный!C18+Сводный!C21+Сводный!C24+Сводный!C27+Сводный!C31</f>
        <v>3501232</v>
      </c>
      <c r="J31" s="89">
        <f>H31-I31+Сводный!D36-Сводный!D36</f>
        <v>552614.9399999995</v>
      </c>
      <c r="K31" s="93">
        <f t="shared" si="1"/>
        <v>0.1363186494653396</v>
      </c>
      <c r="M31" s="63"/>
    </row>
    <row r="32" spans="2:13" ht="15.75">
      <c r="B32" s="52" t="s">
        <v>199</v>
      </c>
      <c r="C32" s="60" t="s">
        <v>200</v>
      </c>
      <c r="D32" s="54">
        <v>6034470.900075</v>
      </c>
      <c r="E32" s="54">
        <v>502872.57500625</v>
      </c>
      <c r="F32" s="61"/>
      <c r="G32" s="61"/>
      <c r="H32" s="62">
        <f>SUM(H25:H31)</f>
        <v>7076460.09</v>
      </c>
      <c r="I32" s="62">
        <f>SUM(I25:I31)</f>
        <v>6072875.07</v>
      </c>
      <c r="J32" s="62">
        <f>SUM(J25:J31)</f>
        <v>1003585.02</v>
      </c>
      <c r="K32" s="93">
        <f t="shared" si="1"/>
        <v>0.1418202049098252</v>
      </c>
      <c r="L32" s="63"/>
      <c r="M32" s="63"/>
    </row>
    <row r="33" spans="3:10" ht="15">
      <c r="C33" s="64"/>
      <c r="D33" s="65"/>
      <c r="E33" s="65"/>
      <c r="F33" s="65"/>
      <c r="G33" s="65"/>
      <c r="H33" s="65"/>
      <c r="I33" s="65"/>
      <c r="J33" s="65"/>
    </row>
    <row r="34" spans="2:10" ht="75.75">
      <c r="B34" s="66">
        <v>2</v>
      </c>
      <c r="C34" s="51" t="s">
        <v>201</v>
      </c>
      <c r="D34" s="55"/>
      <c r="E34" s="55"/>
      <c r="F34" s="27"/>
      <c r="G34" s="55"/>
      <c r="H34" s="92" t="s">
        <v>304</v>
      </c>
      <c r="I34" s="92" t="s">
        <v>305</v>
      </c>
      <c r="J34" s="38" t="s">
        <v>307</v>
      </c>
    </row>
    <row r="35" spans="2:10" ht="15.75">
      <c r="B35" s="66" t="s">
        <v>202</v>
      </c>
      <c r="C35" s="53" t="s">
        <v>203</v>
      </c>
      <c r="D35" s="54">
        <v>0</v>
      </c>
      <c r="E35" s="54">
        <v>0</v>
      </c>
      <c r="F35" s="54"/>
      <c r="G35" s="54"/>
      <c r="H35" s="68">
        <v>0</v>
      </c>
      <c r="I35" s="68">
        <v>0</v>
      </c>
      <c r="J35" s="91"/>
    </row>
    <row r="36" spans="2:10" ht="31.5">
      <c r="B36" s="66" t="s">
        <v>204</v>
      </c>
      <c r="C36" s="67" t="s">
        <v>205</v>
      </c>
      <c r="D36" s="54">
        <v>626176.4515199999</v>
      </c>
      <c r="E36" s="54">
        <v>52181.37095999999</v>
      </c>
      <c r="F36" s="68">
        <v>2.8289792499986444</v>
      </c>
      <c r="G36" s="54"/>
      <c r="H36" s="96">
        <f>SUM(H37:H49)</f>
        <v>668479.31</v>
      </c>
      <c r="I36" s="96">
        <f>SUM(I37:I49)</f>
        <v>668379.31</v>
      </c>
      <c r="J36" s="96">
        <f>SUM(J37:J49)</f>
        <v>100</v>
      </c>
    </row>
    <row r="37" spans="2:13" ht="30.75">
      <c r="B37" s="69" t="s">
        <v>206</v>
      </c>
      <c r="C37" s="58" t="s">
        <v>207</v>
      </c>
      <c r="D37" s="55">
        <v>12000</v>
      </c>
      <c r="E37" s="55">
        <v>1000</v>
      </c>
      <c r="F37" s="27">
        <v>0.05421435270773584</v>
      </c>
      <c r="G37" s="54"/>
      <c r="H37" s="97">
        <f>Сводный!B82+Сводный!B85+Сводный!B86</f>
        <v>10657.150000000001</v>
      </c>
      <c r="I37" s="97">
        <f>Сводный!C82+Сводный!C85+Сводный!C86</f>
        <v>10557.150000000001</v>
      </c>
      <c r="J37" s="97">
        <f>Сводный!D82+Сводный!D85+Сводный!D86</f>
        <v>100</v>
      </c>
      <c r="M37" s="63"/>
    </row>
    <row r="38" spans="2:10" ht="15">
      <c r="B38" s="69" t="s">
        <v>208</v>
      </c>
      <c r="C38" s="58" t="s">
        <v>209</v>
      </c>
      <c r="D38" s="55">
        <v>32750</v>
      </c>
      <c r="E38" s="55">
        <v>2729.1666666666665</v>
      </c>
      <c r="F38" s="27">
        <v>0.14796000426486242</v>
      </c>
      <c r="G38" s="70"/>
      <c r="H38" s="97">
        <f>Сводный!B139</f>
        <v>16600</v>
      </c>
      <c r="I38" s="97">
        <f>Сводный!C139</f>
        <v>16600</v>
      </c>
      <c r="J38" s="97">
        <f>Сводный!D139</f>
        <v>0</v>
      </c>
    </row>
    <row r="39" spans="2:11" ht="15">
      <c r="B39" s="69" t="s">
        <v>210</v>
      </c>
      <c r="C39" s="71" t="s">
        <v>211</v>
      </c>
      <c r="D39" s="55">
        <v>154901.11</v>
      </c>
      <c r="E39" s="55">
        <v>12908.425833333333</v>
      </c>
      <c r="F39" s="27">
        <v>0.6998219510299823</v>
      </c>
      <c r="G39" s="55"/>
      <c r="H39" s="97">
        <f>Сводный!B48</f>
        <v>108741.24</v>
      </c>
      <c r="I39" s="97">
        <f>Сводный!C48</f>
        <v>108741.24</v>
      </c>
      <c r="J39" s="97">
        <f>Сводный!D48</f>
        <v>0</v>
      </c>
      <c r="K39" s="72"/>
    </row>
    <row r="40" spans="2:10" ht="60">
      <c r="B40" s="69" t="s">
        <v>212</v>
      </c>
      <c r="C40" s="71" t="s">
        <v>298</v>
      </c>
      <c r="D40" s="55">
        <f>426525.34152+27840</f>
        <v>454365.34152</v>
      </c>
      <c r="E40" s="55">
        <v>35543.778459999994</v>
      </c>
      <c r="F40" s="27">
        <v>1.926982941996064</v>
      </c>
      <c r="G40" s="55"/>
      <c r="H40" s="97">
        <f>Сводный!B61</f>
        <v>486440</v>
      </c>
      <c r="I40" s="97">
        <f>Сводный!C61</f>
        <v>486440</v>
      </c>
      <c r="J40" s="97">
        <f>Сводный!D61</f>
        <v>0</v>
      </c>
    </row>
    <row r="41" spans="2:11" ht="15">
      <c r="B41" s="69"/>
      <c r="C41" s="71" t="s">
        <v>100</v>
      </c>
      <c r="D41" s="55"/>
      <c r="E41" s="55"/>
      <c r="F41" s="27"/>
      <c r="G41" s="55"/>
      <c r="H41" s="97">
        <f>Сводный!B123</f>
        <v>5460.73</v>
      </c>
      <c r="I41" s="97">
        <f>Сводный!C123</f>
        <v>5460.73</v>
      </c>
      <c r="J41" s="97">
        <f>Сводный!D123</f>
        <v>0</v>
      </c>
      <c r="K41" s="72"/>
    </row>
    <row r="42" spans="2:11" ht="15">
      <c r="B42" s="69"/>
      <c r="C42" s="71" t="s">
        <v>213</v>
      </c>
      <c r="D42" s="55"/>
      <c r="E42" s="55"/>
      <c r="F42" s="27"/>
      <c r="G42" s="55"/>
      <c r="H42" s="97">
        <f>Сводный!B110</f>
        <v>6125</v>
      </c>
      <c r="I42" s="97">
        <f>Сводный!C110</f>
        <v>6125</v>
      </c>
      <c r="J42" s="97">
        <f>Сводный!D110</f>
        <v>0</v>
      </c>
      <c r="K42" s="72"/>
    </row>
    <row r="43" spans="2:10" ht="15">
      <c r="B43" s="69"/>
      <c r="C43" s="71" t="s">
        <v>101</v>
      </c>
      <c r="D43" s="55"/>
      <c r="E43" s="55"/>
      <c r="F43" s="27"/>
      <c r="G43" s="55"/>
      <c r="H43" s="97">
        <f>Сводный!B124</f>
        <v>4403.64</v>
      </c>
      <c r="I43" s="97">
        <f>Сводный!C124</f>
        <v>4403.64</v>
      </c>
      <c r="J43" s="97">
        <f>Сводный!D124</f>
        <v>0</v>
      </c>
    </row>
    <row r="44" spans="2:10" ht="15">
      <c r="B44" s="69"/>
      <c r="C44" s="71" t="s">
        <v>102</v>
      </c>
      <c r="D44" s="55"/>
      <c r="E44" s="55"/>
      <c r="F44" s="27"/>
      <c r="G44" s="55"/>
      <c r="H44" s="97">
        <f>Сводный!B125</f>
        <v>700</v>
      </c>
      <c r="I44" s="97">
        <f>Сводный!C125</f>
        <v>700</v>
      </c>
      <c r="J44" s="97">
        <f>Сводный!D125</f>
        <v>0</v>
      </c>
    </row>
    <row r="45" spans="2:10" ht="15">
      <c r="B45" s="69"/>
      <c r="C45" s="71" t="s">
        <v>214</v>
      </c>
      <c r="D45" s="55"/>
      <c r="E45" s="55"/>
      <c r="F45" s="27"/>
      <c r="G45" s="55"/>
      <c r="H45" s="97">
        <f>Сводный!B102</f>
        <v>734.3</v>
      </c>
      <c r="I45" s="97">
        <f>Сводный!C102</f>
        <v>734.3</v>
      </c>
      <c r="J45" s="97">
        <f>Сводный!D102</f>
        <v>0</v>
      </c>
    </row>
    <row r="46" spans="2:10" ht="31.5" customHeight="1">
      <c r="B46" s="69"/>
      <c r="C46" s="71" t="s">
        <v>297</v>
      </c>
      <c r="D46" s="55"/>
      <c r="E46" s="55"/>
      <c r="F46" s="27"/>
      <c r="G46" s="55"/>
      <c r="H46" s="97">
        <f>Сводный!B138-2001-1238</f>
        <v>5000</v>
      </c>
      <c r="I46" s="97">
        <f>Сводный!C138-2001-1238</f>
        <v>5000</v>
      </c>
      <c r="J46" s="97">
        <v>0</v>
      </c>
    </row>
    <row r="47" spans="2:10" ht="15">
      <c r="B47" s="69"/>
      <c r="C47" s="71" t="s">
        <v>299</v>
      </c>
      <c r="D47" s="55"/>
      <c r="E47" s="55"/>
      <c r="F47" s="27"/>
      <c r="G47" s="55"/>
      <c r="H47" s="97">
        <f>2001+1238</f>
        <v>3239</v>
      </c>
      <c r="I47" s="97">
        <f>2001+1238</f>
        <v>3239</v>
      </c>
      <c r="J47" s="97">
        <v>0</v>
      </c>
    </row>
    <row r="48" spans="2:10" ht="15">
      <c r="B48" s="69"/>
      <c r="C48" s="71" t="s">
        <v>141</v>
      </c>
      <c r="D48" s="55"/>
      <c r="E48" s="55"/>
      <c r="F48" s="27"/>
      <c r="G48" s="55"/>
      <c r="H48" s="97">
        <f>Сводный!B137</f>
        <v>7488.25</v>
      </c>
      <c r="I48" s="97">
        <f>Сводный!C137</f>
        <v>7488.25</v>
      </c>
      <c r="J48" s="97">
        <f>Сводный!D137</f>
        <v>0</v>
      </c>
    </row>
    <row r="49" spans="2:11" ht="15">
      <c r="B49" s="69"/>
      <c r="C49" s="71" t="s">
        <v>215</v>
      </c>
      <c r="D49" s="55"/>
      <c r="E49" s="55"/>
      <c r="F49" s="27"/>
      <c r="G49" s="55"/>
      <c r="H49" s="97">
        <f>Сводный!B90</f>
        <v>12890</v>
      </c>
      <c r="I49" s="97">
        <f>Сводный!C90</f>
        <v>12890</v>
      </c>
      <c r="J49" s="97">
        <f>Сводный!D90</f>
        <v>0</v>
      </c>
      <c r="K49" s="72"/>
    </row>
    <row r="50" spans="2:10" ht="31.5">
      <c r="B50" s="66" t="s">
        <v>216</v>
      </c>
      <c r="C50" s="67" t="s">
        <v>217</v>
      </c>
      <c r="D50" s="54">
        <v>547462.358055</v>
      </c>
      <c r="E50" s="54">
        <v>45621.86317125</v>
      </c>
      <c r="F50" s="68">
        <v>2.4733597811502115</v>
      </c>
      <c r="G50" s="54"/>
      <c r="H50" s="96">
        <f>SUM(H51:H54)</f>
        <v>562722.66</v>
      </c>
      <c r="I50" s="96">
        <f>SUM(I51:I54)</f>
        <v>531375.66</v>
      </c>
      <c r="J50" s="96">
        <f>SUM(J51:J54)</f>
        <v>31347</v>
      </c>
    </row>
    <row r="51" spans="2:11" ht="60">
      <c r="B51" s="69" t="s">
        <v>218</v>
      </c>
      <c r="C51" s="71" t="s">
        <v>219</v>
      </c>
      <c r="D51" s="55">
        <v>412702.35805499996</v>
      </c>
      <c r="E51" s="55">
        <v>34391.86317125</v>
      </c>
      <c r="F51" s="27">
        <v>1.8645326002423381</v>
      </c>
      <c r="G51" s="27"/>
      <c r="H51" s="97">
        <f>Сводный!B49+Сводный!B52+Сводный!B54+Сводный!B56+Сводный!B57+Сводный!B58+Сводный!B59</f>
        <v>434034.55</v>
      </c>
      <c r="I51" s="97">
        <f>Сводный!C49+Сводный!C52+Сводный!C54+Сводный!C56+Сводный!C57+Сводный!C58+Сводный!C59</f>
        <v>407037.55</v>
      </c>
      <c r="J51" s="97">
        <f>Сводный!D49+Сводный!D52+Сводный!D54+Сводный!D56+Сводный!D57+Сводный!D58+Сводный!D59</f>
        <v>26997</v>
      </c>
      <c r="K51" s="72"/>
    </row>
    <row r="52" spans="2:10" ht="15">
      <c r="B52" s="73" t="s">
        <v>220</v>
      </c>
      <c r="C52" s="71" t="s">
        <v>221</v>
      </c>
      <c r="D52" s="55">
        <v>43800</v>
      </c>
      <c r="E52" s="55">
        <v>3650</v>
      </c>
      <c r="F52" s="27">
        <v>0.19788238738323585</v>
      </c>
      <c r="G52" s="27"/>
      <c r="H52" s="97">
        <f>Сводный!B64+Сводный!B70</f>
        <v>29200</v>
      </c>
      <c r="I52" s="97">
        <f>Сводный!C64+Сводный!C70</f>
        <v>29200</v>
      </c>
      <c r="J52" s="97">
        <f>Сводный!D64+Сводный!D70</f>
        <v>0</v>
      </c>
    </row>
    <row r="53" spans="2:11" ht="30">
      <c r="B53" s="73" t="s">
        <v>222</v>
      </c>
      <c r="C53" s="71" t="s">
        <v>223</v>
      </c>
      <c r="D53" s="55">
        <v>47280</v>
      </c>
      <c r="E53" s="55">
        <v>3940</v>
      </c>
      <c r="F53" s="27">
        <v>0.21360454966847922</v>
      </c>
      <c r="G53" s="27"/>
      <c r="H53" s="97">
        <f>Сводный!B65+Сводный!B69</f>
        <v>50560</v>
      </c>
      <c r="I53" s="97">
        <f>Сводный!C65+Сводный!C69</f>
        <v>46210</v>
      </c>
      <c r="J53" s="97">
        <f>Сводный!D65+Сводный!D69</f>
        <v>4350</v>
      </c>
      <c r="K53" s="72"/>
    </row>
    <row r="54" spans="2:10" ht="15.75">
      <c r="B54" s="69" t="s">
        <v>224</v>
      </c>
      <c r="C54" s="60" t="s">
        <v>294</v>
      </c>
      <c r="D54" s="54">
        <v>43680</v>
      </c>
      <c r="E54" s="54">
        <v>3640</v>
      </c>
      <c r="F54" s="68">
        <v>0.2</v>
      </c>
      <c r="H54" s="96">
        <f>SUM(H55:H65)</f>
        <v>48928.11</v>
      </c>
      <c r="I54" s="96">
        <f>SUM(I55:I65)</f>
        <v>48928.11</v>
      </c>
      <c r="J54" s="96">
        <f>SUM(J55:J65)</f>
        <v>0</v>
      </c>
    </row>
    <row r="55" spans="2:10" ht="30">
      <c r="B55" s="69" t="s">
        <v>226</v>
      </c>
      <c r="C55" s="71" t="s">
        <v>225</v>
      </c>
      <c r="D55" s="55">
        <v>28680</v>
      </c>
      <c r="E55" s="55">
        <v>2390</v>
      </c>
      <c r="F55" s="27">
        <v>0.12957230297148867</v>
      </c>
      <c r="G55" s="55"/>
      <c r="H55" s="97"/>
      <c r="I55" s="97"/>
      <c r="J55" s="97"/>
    </row>
    <row r="56" spans="2:10" ht="15">
      <c r="B56" s="69"/>
      <c r="C56" s="71" t="s">
        <v>227</v>
      </c>
      <c r="D56" s="57"/>
      <c r="E56" s="57"/>
      <c r="F56" s="57"/>
      <c r="G56" s="55"/>
      <c r="H56" s="97">
        <f>Сводный!B73</f>
        <v>2000</v>
      </c>
      <c r="I56" s="97">
        <f>Сводный!C73</f>
        <v>2000</v>
      </c>
      <c r="J56" s="97">
        <f>Сводный!D73</f>
        <v>0</v>
      </c>
    </row>
    <row r="57" spans="2:10" ht="15">
      <c r="B57" s="69"/>
      <c r="C57" s="71" t="s">
        <v>228</v>
      </c>
      <c r="D57" s="55"/>
      <c r="E57" s="55"/>
      <c r="F57" s="27"/>
      <c r="G57" s="55"/>
      <c r="H57" s="97">
        <f>Сводный!B99</f>
        <v>1628.4</v>
      </c>
      <c r="I57" s="97">
        <f>Сводный!C99</f>
        <v>1628.4</v>
      </c>
      <c r="J57" s="97">
        <f>Сводный!D99</f>
        <v>0</v>
      </c>
    </row>
    <row r="58" spans="2:10" ht="15">
      <c r="B58" s="69"/>
      <c r="C58" s="71" t="s">
        <v>229</v>
      </c>
      <c r="D58" s="55"/>
      <c r="E58" s="55"/>
      <c r="F58" s="27"/>
      <c r="G58" s="55"/>
      <c r="H58" s="97">
        <f>Сводный!B94+Сводный!B95</f>
        <v>11930.72</v>
      </c>
      <c r="I58" s="97">
        <f>Сводный!C94+Сводный!C95</f>
        <v>11930.72</v>
      </c>
      <c r="J58" s="97">
        <f>Сводный!D94+Сводный!D95</f>
        <v>0</v>
      </c>
    </row>
    <row r="59" spans="2:10" ht="15">
      <c r="B59" s="69"/>
      <c r="C59" s="71" t="s">
        <v>230</v>
      </c>
      <c r="D59" s="55"/>
      <c r="E59" s="55"/>
      <c r="F59" s="27"/>
      <c r="G59" s="55"/>
      <c r="H59" s="97">
        <v>1167</v>
      </c>
      <c r="I59" s="97">
        <v>1167</v>
      </c>
      <c r="J59" s="97">
        <v>0</v>
      </c>
    </row>
    <row r="60" spans="2:10" ht="30">
      <c r="B60" s="69"/>
      <c r="C60" s="71" t="s">
        <v>231</v>
      </c>
      <c r="D60" s="55"/>
      <c r="E60" s="55"/>
      <c r="F60" s="27"/>
      <c r="G60" s="55"/>
      <c r="H60" s="97">
        <f>Сводный!B101</f>
        <v>6825.66</v>
      </c>
      <c r="I60" s="97">
        <f>Сводный!C101</f>
        <v>6825.66</v>
      </c>
      <c r="J60" s="97">
        <f>Сводный!D101</f>
        <v>0</v>
      </c>
    </row>
    <row r="61" spans="2:10" ht="30">
      <c r="B61" s="69"/>
      <c r="C61" s="71" t="s">
        <v>232</v>
      </c>
      <c r="D61" s="55"/>
      <c r="E61" s="55"/>
      <c r="F61" s="27"/>
      <c r="G61" s="55"/>
      <c r="H61" s="97">
        <f>Сводный!B121</f>
        <v>7862.58</v>
      </c>
      <c r="I61" s="97">
        <f>Сводный!C121</f>
        <v>7862.58</v>
      </c>
      <c r="J61" s="97">
        <f>Сводный!D121</f>
        <v>0</v>
      </c>
    </row>
    <row r="62" spans="2:10" ht="15">
      <c r="B62" s="69"/>
      <c r="C62" s="71" t="s">
        <v>233</v>
      </c>
      <c r="D62" s="55"/>
      <c r="E62" s="55"/>
      <c r="F62" s="27"/>
      <c r="G62" s="55"/>
      <c r="H62" s="97">
        <f>Сводный!B109</f>
        <v>4389.6</v>
      </c>
      <c r="I62" s="97">
        <f>Сводный!C109</f>
        <v>4389.5999999999985</v>
      </c>
      <c r="J62" s="97">
        <f>Сводный!D109</f>
        <v>0</v>
      </c>
    </row>
    <row r="63" spans="2:10" ht="15">
      <c r="B63" s="69"/>
      <c r="C63" s="71" t="s">
        <v>234</v>
      </c>
      <c r="D63" s="55"/>
      <c r="E63" s="55"/>
      <c r="F63" s="27"/>
      <c r="G63" s="55"/>
      <c r="H63" s="97">
        <f>Сводный!B66</f>
        <v>7300</v>
      </c>
      <c r="I63" s="97">
        <f>Сводный!C66</f>
        <v>7300</v>
      </c>
      <c r="J63" s="97">
        <f>Сводный!D66</f>
        <v>0</v>
      </c>
    </row>
    <row r="64" spans="2:10" ht="15">
      <c r="B64" s="69"/>
      <c r="C64" s="71" t="s">
        <v>235</v>
      </c>
      <c r="D64" s="55"/>
      <c r="E64" s="55"/>
      <c r="F64" s="27"/>
      <c r="G64" s="55"/>
      <c r="H64" s="97">
        <f>Сводный!B115</f>
        <v>3930.72</v>
      </c>
      <c r="I64" s="97">
        <f>Сводный!C115</f>
        <v>3930.7200000000003</v>
      </c>
      <c r="J64" s="97">
        <f>Сводный!D115</f>
        <v>0</v>
      </c>
    </row>
    <row r="65" spans="2:10" ht="15">
      <c r="B65" s="69"/>
      <c r="C65" s="71" t="s">
        <v>236</v>
      </c>
      <c r="D65" s="55"/>
      <c r="E65" s="55"/>
      <c r="F65" s="27"/>
      <c r="G65" s="55"/>
      <c r="H65" s="97">
        <f>Сводный!B72</f>
        <v>1893.43</v>
      </c>
      <c r="I65" s="97">
        <f>Сводный!C72</f>
        <v>1893.43</v>
      </c>
      <c r="J65" s="97">
        <f>Сводный!D72</f>
        <v>0</v>
      </c>
    </row>
    <row r="66" spans="2:10" ht="31.5">
      <c r="B66" s="66" t="s">
        <v>237</v>
      </c>
      <c r="C66" s="74" t="s">
        <v>238</v>
      </c>
      <c r="D66" s="54">
        <v>1173638.8095749998</v>
      </c>
      <c r="E66" s="54">
        <v>97803.23413124999</v>
      </c>
      <c r="F66" s="68">
        <v>5.302339031148856</v>
      </c>
      <c r="G66" s="75"/>
      <c r="H66" s="98">
        <f>H36+H50</f>
        <v>1231201.9700000002</v>
      </c>
      <c r="I66" s="98">
        <f>I36+I50</f>
        <v>1199754.9700000002</v>
      </c>
      <c r="J66" s="98">
        <f>J36+J50</f>
        <v>31447</v>
      </c>
    </row>
    <row r="67" spans="2:13" ht="47.25">
      <c r="B67" s="66" t="s">
        <v>239</v>
      </c>
      <c r="C67" s="74" t="s">
        <v>240</v>
      </c>
      <c r="D67" s="54">
        <v>1107638.8095749998</v>
      </c>
      <c r="E67" s="54">
        <v>92303.23413124999</v>
      </c>
      <c r="F67" s="68">
        <v>5.004160091256309</v>
      </c>
      <c r="G67" s="75" t="s">
        <v>241</v>
      </c>
      <c r="H67" s="98">
        <f>H66-H28</f>
        <v>1136201.9700000002</v>
      </c>
      <c r="I67" s="98">
        <f>I66-I28</f>
        <v>1126754.9700000002</v>
      </c>
      <c r="J67" s="98">
        <f>J66-J28</f>
        <v>9447</v>
      </c>
      <c r="L67" s="34" t="s">
        <v>333</v>
      </c>
      <c r="M67" s="63">
        <f>D67-H67</f>
        <v>-28563.16042500036</v>
      </c>
    </row>
    <row r="68" spans="2:13" ht="31.5">
      <c r="B68" s="76" t="s">
        <v>242</v>
      </c>
      <c r="C68" s="60" t="s">
        <v>243</v>
      </c>
      <c r="D68" s="54">
        <v>1528816.6905</v>
      </c>
      <c r="E68" s="54">
        <v>127401.390875</v>
      </c>
      <c r="F68" s="68">
        <v>7.498124952180848</v>
      </c>
      <c r="G68" s="75" t="s">
        <v>244</v>
      </c>
      <c r="H68" s="98">
        <f>H69+H91+H100</f>
        <v>1511489.6099999999</v>
      </c>
      <c r="I68" s="98">
        <f>I69+I91+I100</f>
        <v>1344786.7999999998</v>
      </c>
      <c r="J68" s="98">
        <f>J69+J91+J100</f>
        <v>166702.81000000003</v>
      </c>
      <c r="L68" s="34" t="s">
        <v>330</v>
      </c>
      <c r="M68" s="63">
        <f>D68-H68</f>
        <v>17327.080500000156</v>
      </c>
    </row>
    <row r="69" spans="2:13" ht="47.25">
      <c r="B69" s="76" t="s">
        <v>245</v>
      </c>
      <c r="C69" s="67" t="s">
        <v>246</v>
      </c>
      <c r="D69" s="54">
        <v>1210994.6905</v>
      </c>
      <c r="E69" s="54">
        <v>100916.22420833334</v>
      </c>
      <c r="F69" s="68">
        <v>5.939357911396751</v>
      </c>
      <c r="G69" s="54"/>
      <c r="H69" s="96">
        <f>SUM(H70:H72,H81:H90)</f>
        <v>1159346.6300000001</v>
      </c>
      <c r="I69" s="96">
        <f>SUM(I70:I72,I81:I90)</f>
        <v>1101802.66</v>
      </c>
      <c r="J69" s="96">
        <f>SUM(J70:J72,J81:J90)</f>
        <v>57543.97000000002</v>
      </c>
      <c r="M69" s="63"/>
    </row>
    <row r="70" spans="2:11" ht="45.75">
      <c r="B70" s="76"/>
      <c r="C70" s="71" t="s">
        <v>247</v>
      </c>
      <c r="D70" s="55">
        <v>373981.8745</v>
      </c>
      <c r="E70" s="55">
        <v>31165.15620833333</v>
      </c>
      <c r="F70" s="27">
        <v>1.834204742973282</v>
      </c>
      <c r="G70" s="54"/>
      <c r="H70" s="97">
        <f>Сводный!B55+Сводный!B50+Сводный!B51</f>
        <v>387702.05999999994</v>
      </c>
      <c r="I70" s="97">
        <f>Сводный!C55+Сводный!C50+Сводный!C51</f>
        <v>387702.06</v>
      </c>
      <c r="J70" s="97">
        <f>Сводный!D55+Сводный!D50+Сводный!D51</f>
        <v>0</v>
      </c>
      <c r="K70" s="63"/>
    </row>
    <row r="71" spans="2:10" ht="15.75">
      <c r="B71" s="76"/>
      <c r="C71" s="71" t="s">
        <v>248</v>
      </c>
      <c r="D71" s="55">
        <v>11400</v>
      </c>
      <c r="E71" s="55">
        <v>950</v>
      </c>
      <c r="F71" s="27">
        <v>0.055911624320968044</v>
      </c>
      <c r="G71" s="54"/>
      <c r="H71" s="97">
        <f>Сводный!B62</f>
        <v>11000</v>
      </c>
      <c r="I71" s="97">
        <f>Сводный!C62</f>
        <v>11000</v>
      </c>
      <c r="J71" s="97">
        <f>Сводный!D62</f>
        <v>0</v>
      </c>
    </row>
    <row r="72" spans="2:10" ht="31.5">
      <c r="B72" s="76"/>
      <c r="C72" s="74" t="s">
        <v>296</v>
      </c>
      <c r="D72" s="54">
        <v>70000</v>
      </c>
      <c r="E72" s="54">
        <v>5833</v>
      </c>
      <c r="F72" s="68">
        <v>0.35</v>
      </c>
      <c r="G72" s="54"/>
      <c r="H72" s="96">
        <f>SUM(H73:H80)</f>
        <v>65903.6</v>
      </c>
      <c r="I72" s="96">
        <f>SUM(I73:I80)</f>
        <v>65903.6</v>
      </c>
      <c r="J72" s="96">
        <f>SUM(J73:J80)</f>
        <v>0</v>
      </c>
    </row>
    <row r="73" spans="2:10" ht="31.5" customHeight="1">
      <c r="B73" s="76"/>
      <c r="C73" s="71" t="s">
        <v>249</v>
      </c>
      <c r="D73" s="55"/>
      <c r="E73" s="55"/>
      <c r="F73" s="27"/>
      <c r="G73" s="54"/>
      <c r="H73" s="97">
        <f>Сводный!B127</f>
        <v>7718.2</v>
      </c>
      <c r="I73" s="97">
        <f>Сводный!C127</f>
        <v>7718.2</v>
      </c>
      <c r="J73" s="97">
        <f>Сводный!D127</f>
        <v>0</v>
      </c>
    </row>
    <row r="74" spans="2:10" ht="32.25" customHeight="1">
      <c r="B74" s="76"/>
      <c r="C74" s="71" t="s">
        <v>250</v>
      </c>
      <c r="D74" s="55"/>
      <c r="E74" s="55"/>
      <c r="F74" s="27"/>
      <c r="G74" s="54"/>
      <c r="H74" s="97">
        <f>Сводный!B71</f>
        <v>14270</v>
      </c>
      <c r="I74" s="97">
        <f>Сводный!C71</f>
        <v>14270</v>
      </c>
      <c r="J74" s="97">
        <f>Сводный!D71</f>
        <v>0</v>
      </c>
    </row>
    <row r="75" spans="2:10" ht="31.5" customHeight="1">
      <c r="B75" s="76"/>
      <c r="C75" s="71" t="s">
        <v>251</v>
      </c>
      <c r="D75" s="55"/>
      <c r="E75" s="55"/>
      <c r="F75" s="27"/>
      <c r="G75" s="54"/>
      <c r="H75" s="97">
        <f>Сводный!B120</f>
        <v>10482.3</v>
      </c>
      <c r="I75" s="97">
        <f>Сводный!C120</f>
        <v>10482.3</v>
      </c>
      <c r="J75" s="97">
        <f>Сводный!D120</f>
        <v>0</v>
      </c>
    </row>
    <row r="76" spans="2:10" ht="15.75">
      <c r="B76" s="76"/>
      <c r="C76" s="71" t="s">
        <v>252</v>
      </c>
      <c r="D76" s="55"/>
      <c r="E76" s="55"/>
      <c r="F76" s="27"/>
      <c r="G76" s="54"/>
      <c r="H76" s="97">
        <f>Сводный!B116</f>
        <v>3930.72</v>
      </c>
      <c r="I76" s="97">
        <f>Сводный!C116</f>
        <v>3930.7200000000003</v>
      </c>
      <c r="J76" s="97">
        <f>Сводный!D116</f>
        <v>0</v>
      </c>
    </row>
    <row r="77" spans="2:10" ht="15.75">
      <c r="B77" s="76"/>
      <c r="C77" s="71" t="s">
        <v>253</v>
      </c>
      <c r="D77" s="55"/>
      <c r="E77" s="55"/>
      <c r="F77" s="27"/>
      <c r="G77" s="54"/>
      <c r="H77" s="97">
        <f>Сводный!B88</f>
        <v>5400</v>
      </c>
      <c r="I77" s="97">
        <f>Сводный!C88</f>
        <v>5400</v>
      </c>
      <c r="J77" s="97">
        <f>Сводный!D88</f>
        <v>0</v>
      </c>
    </row>
    <row r="78" spans="2:11" ht="15.75">
      <c r="B78" s="76"/>
      <c r="C78" s="71" t="s">
        <v>254</v>
      </c>
      <c r="D78" s="55"/>
      <c r="E78" s="55"/>
      <c r="F78" s="27"/>
      <c r="G78" s="54"/>
      <c r="H78" s="97">
        <f>Сводный!B128</f>
        <v>523</v>
      </c>
      <c r="I78" s="97">
        <f>Сводный!C128</f>
        <v>523</v>
      </c>
      <c r="J78" s="97">
        <f>Сводный!D128</f>
        <v>0</v>
      </c>
      <c r="K78" s="63"/>
    </row>
    <row r="79" spans="2:11" ht="15.75">
      <c r="B79" s="76"/>
      <c r="C79" s="71" t="s">
        <v>255</v>
      </c>
      <c r="D79" s="55"/>
      <c r="E79" s="55"/>
      <c r="F79" s="27"/>
      <c r="G79" s="54"/>
      <c r="H79" s="97">
        <f>Сводный!B129-1167</f>
        <v>17574.88</v>
      </c>
      <c r="I79" s="97">
        <f>Сводный!C129-1167</f>
        <v>17574.879999999997</v>
      </c>
      <c r="J79" s="97">
        <f>Сводный!D129</f>
        <v>0</v>
      </c>
      <c r="K79" s="63"/>
    </row>
    <row r="80" spans="2:11" ht="15.75">
      <c r="B80" s="76"/>
      <c r="C80" s="71" t="s">
        <v>256</v>
      </c>
      <c r="D80" s="55"/>
      <c r="E80" s="55"/>
      <c r="F80" s="27"/>
      <c r="G80" s="54"/>
      <c r="H80" s="97">
        <f>Сводный!B96+Сводный!B97+Сводный!B126</f>
        <v>6004.5</v>
      </c>
      <c r="I80" s="97">
        <f>Сводный!C96+Сводный!C97+Сводный!C126</f>
        <v>6004.5</v>
      </c>
      <c r="J80" s="97">
        <f>Сводный!D96+Сводный!D97+Сводный!D126</f>
        <v>0</v>
      </c>
      <c r="K80" s="63"/>
    </row>
    <row r="81" spans="2:10" ht="15">
      <c r="B81" s="73"/>
      <c r="C81" s="71" t="s">
        <v>257</v>
      </c>
      <c r="D81" s="55">
        <v>270000</v>
      </c>
      <c r="E81" s="55">
        <v>22500</v>
      </c>
      <c r="F81" s="27">
        <v>1.3242226812860851</v>
      </c>
      <c r="G81" s="27"/>
      <c r="H81" s="97">
        <f>Сводный!B68</f>
        <v>256500</v>
      </c>
      <c r="I81" s="97">
        <f>Сводный!C68</f>
        <v>235000</v>
      </c>
      <c r="J81" s="97">
        <f>Сводный!D68</f>
        <v>21500</v>
      </c>
    </row>
    <row r="82" spans="2:10" ht="30">
      <c r="B82" s="73"/>
      <c r="C82" s="71" t="s">
        <v>258</v>
      </c>
      <c r="D82" s="55">
        <v>18240</v>
      </c>
      <c r="E82" s="55">
        <v>1520</v>
      </c>
      <c r="F82" s="27">
        <v>0.08945859891354886</v>
      </c>
      <c r="G82" s="27"/>
      <c r="H82" s="97"/>
      <c r="I82" s="97"/>
      <c r="J82" s="97"/>
    </row>
    <row r="83" spans="2:10" ht="15">
      <c r="B83" s="73"/>
      <c r="C83" s="71" t="s">
        <v>259</v>
      </c>
      <c r="D83" s="55">
        <v>71596</v>
      </c>
      <c r="E83" s="55">
        <v>5966.333333333333</v>
      </c>
      <c r="F83" s="27">
        <v>0.3511446188494762</v>
      </c>
      <c r="G83" s="55"/>
      <c r="H83" s="97">
        <f>Сводный!B77</f>
        <v>71594.23999999999</v>
      </c>
      <c r="I83" s="97">
        <f>Сводный!C77</f>
        <v>65627.6</v>
      </c>
      <c r="J83" s="97">
        <f>Сводный!D77</f>
        <v>5966.639999999985</v>
      </c>
    </row>
    <row r="84" spans="2:10" ht="15">
      <c r="B84" s="77"/>
      <c r="C84" s="71" t="s">
        <v>260</v>
      </c>
      <c r="D84" s="55">
        <v>268000</v>
      </c>
      <c r="E84" s="55">
        <v>22333.333333333332</v>
      </c>
      <c r="F84" s="27">
        <v>1.3144136243876698</v>
      </c>
      <c r="G84" s="55"/>
      <c r="H84" s="97">
        <f>Сводный!B75</f>
        <v>267558.12000000005</v>
      </c>
      <c r="I84" s="97">
        <f>Сводный!C75</f>
        <v>245261.61000000002</v>
      </c>
      <c r="J84" s="97">
        <f>Сводный!D75</f>
        <v>22296.51000000004</v>
      </c>
    </row>
    <row r="85" spans="2:10" ht="30.75">
      <c r="B85" s="76"/>
      <c r="C85" s="71" t="s">
        <v>261</v>
      </c>
      <c r="D85" s="55">
        <v>12992</v>
      </c>
      <c r="E85" s="55">
        <v>1082.6666666666667</v>
      </c>
      <c r="F85" s="27">
        <v>0.06371963361210674</v>
      </c>
      <c r="G85" s="55"/>
      <c r="H85" s="97">
        <f>Сводный!B78</f>
        <v>13810</v>
      </c>
      <c r="I85" s="97">
        <f>Сводный!C78</f>
        <v>13810</v>
      </c>
      <c r="J85" s="97">
        <f>Сводный!D78</f>
        <v>0</v>
      </c>
    </row>
    <row r="86" spans="2:10" ht="15.75">
      <c r="B86" s="76"/>
      <c r="C86" s="71" t="s">
        <v>262</v>
      </c>
      <c r="D86" s="55">
        <v>320</v>
      </c>
      <c r="E86" s="55">
        <v>26.666666666666668</v>
      </c>
      <c r="F86" s="27">
        <v>0.0015694491037464714</v>
      </c>
      <c r="G86" s="55"/>
      <c r="H86" s="97">
        <f>Сводный!B89</f>
        <v>500</v>
      </c>
      <c r="I86" s="97">
        <f>Сводный!C89</f>
        <v>500</v>
      </c>
      <c r="J86" s="97">
        <f>Сводный!D89</f>
        <v>0</v>
      </c>
    </row>
    <row r="87" spans="2:10" ht="30.75">
      <c r="B87" s="76"/>
      <c r="C87" s="71" t="s">
        <v>263</v>
      </c>
      <c r="D87" s="55">
        <v>7215</v>
      </c>
      <c r="E87" s="55">
        <v>601.25</v>
      </c>
      <c r="F87" s="27">
        <v>0.03538617276103372</v>
      </c>
      <c r="G87" s="55"/>
      <c r="H87" s="97">
        <f>Сводный!B87</f>
        <v>6044.05</v>
      </c>
      <c r="I87" s="97">
        <f>Сводный!C87</f>
        <v>6044.05</v>
      </c>
      <c r="J87" s="97">
        <f>Сводный!D87</f>
        <v>0</v>
      </c>
    </row>
    <row r="88" spans="2:10" ht="15.75">
      <c r="B88" s="76"/>
      <c r="C88" s="71" t="s">
        <v>264</v>
      </c>
      <c r="D88" s="55">
        <v>2000</v>
      </c>
      <c r="E88" s="55">
        <v>166.66666666666666</v>
      </c>
      <c r="F88" s="27">
        <v>0.009809056898415446</v>
      </c>
      <c r="G88" s="55"/>
      <c r="H88" s="97"/>
      <c r="I88" s="97"/>
      <c r="J88" s="97"/>
    </row>
    <row r="89" spans="2:10" ht="15.75">
      <c r="B89" s="76"/>
      <c r="C89" s="71" t="s">
        <v>265</v>
      </c>
      <c r="D89" s="55">
        <v>42000</v>
      </c>
      <c r="E89" s="55">
        <v>3500</v>
      </c>
      <c r="F89" s="27">
        <v>0.20599019486672435</v>
      </c>
      <c r="G89" s="55"/>
      <c r="H89" s="97">
        <f>Сводный!B79+Сводный!B80</f>
        <v>45780</v>
      </c>
      <c r="I89" s="97">
        <f>Сводный!C79+Сводный!C80</f>
        <v>40950</v>
      </c>
      <c r="J89" s="97">
        <f>Сводный!D79+Сводный!D80</f>
        <v>4830</v>
      </c>
    </row>
    <row r="90" spans="2:10" ht="30.75">
      <c r="B90" s="76"/>
      <c r="C90" s="71" t="s">
        <v>266</v>
      </c>
      <c r="D90" s="55">
        <v>35409.816000000006</v>
      </c>
      <c r="E90" s="55">
        <v>2950.8180000000007</v>
      </c>
      <c r="F90" s="27">
        <v>0.17366844995321085</v>
      </c>
      <c r="G90" s="55"/>
      <c r="H90" s="97">
        <f>Сводный!B81</f>
        <v>32954.56</v>
      </c>
      <c r="I90" s="97">
        <f>Сводный!C81</f>
        <v>30003.739999999998</v>
      </c>
      <c r="J90" s="97">
        <f>Сводный!D81</f>
        <v>2950.8199999999997</v>
      </c>
    </row>
    <row r="91" spans="2:10" ht="15.75">
      <c r="B91" s="76" t="s">
        <v>267</v>
      </c>
      <c r="C91" s="78" t="s">
        <v>268</v>
      </c>
      <c r="D91" s="54">
        <v>297822</v>
      </c>
      <c r="E91" s="54">
        <v>24818.5</v>
      </c>
      <c r="F91" s="68">
        <v>1.4606764717999425</v>
      </c>
      <c r="G91" s="55"/>
      <c r="H91" s="96">
        <f>SUM(H92:H93)+H97+H98</f>
        <v>336158.85</v>
      </c>
      <c r="I91" s="96">
        <f>SUM(I92:I93)+I97+I98</f>
        <v>227000.01</v>
      </c>
      <c r="J91" s="96">
        <f>SUM(J92:J93)+J97+J98</f>
        <v>109158.84</v>
      </c>
    </row>
    <row r="92" spans="2:11" ht="15">
      <c r="B92" s="69"/>
      <c r="C92" s="58" t="s">
        <v>269</v>
      </c>
      <c r="D92" s="55">
        <v>5000</v>
      </c>
      <c r="E92" s="55">
        <v>416.6666666666667</v>
      </c>
      <c r="F92" s="27">
        <v>0.024522642246038614</v>
      </c>
      <c r="G92" s="55"/>
      <c r="H92" s="97">
        <f>Сводный!B117+Сводный!B118</f>
        <v>5241.72</v>
      </c>
      <c r="I92" s="97">
        <f>Сводный!C117+Сводный!C118</f>
        <v>5241.72</v>
      </c>
      <c r="J92" s="97">
        <f>Сводный!D117+Сводный!D118</f>
        <v>0</v>
      </c>
      <c r="K92" s="79"/>
    </row>
    <row r="93" spans="2:11" ht="15">
      <c r="B93" s="69"/>
      <c r="C93" s="58" t="s">
        <v>270</v>
      </c>
      <c r="D93" s="55">
        <v>5000</v>
      </c>
      <c r="E93" s="55">
        <v>416.6666666666667</v>
      </c>
      <c r="F93" s="27">
        <v>0.024522642246038614</v>
      </c>
      <c r="G93" s="55"/>
      <c r="H93" s="97">
        <f>SUM(H94:H96)</f>
        <v>12708.09</v>
      </c>
      <c r="I93" s="97">
        <f>SUM(I94:I96)</f>
        <v>12708.09</v>
      </c>
      <c r="J93" s="97">
        <f>SUM(J94:J96)</f>
        <v>0</v>
      </c>
      <c r="K93" s="79"/>
    </row>
    <row r="94" spans="2:11" ht="30">
      <c r="B94" s="69"/>
      <c r="C94" s="58" t="s">
        <v>271</v>
      </c>
      <c r="D94" s="55"/>
      <c r="E94" s="55"/>
      <c r="F94" s="27"/>
      <c r="G94" s="55"/>
      <c r="H94" s="97">
        <f>Сводный!B106</f>
        <v>2622</v>
      </c>
      <c r="I94" s="97">
        <f>Сводный!C106</f>
        <v>2622</v>
      </c>
      <c r="J94" s="97">
        <f>Сводный!D106</f>
        <v>0</v>
      </c>
      <c r="K94" s="79"/>
    </row>
    <row r="95" spans="2:11" ht="15">
      <c r="B95" s="69"/>
      <c r="C95" s="58" t="s">
        <v>272</v>
      </c>
      <c r="D95" s="55"/>
      <c r="E95" s="55"/>
      <c r="F95" s="27"/>
      <c r="G95" s="55"/>
      <c r="H95" s="97">
        <f>Сводный!B130</f>
        <v>6392.49</v>
      </c>
      <c r="I95" s="97">
        <f>Сводный!C130</f>
        <v>6392.49</v>
      </c>
      <c r="J95" s="97">
        <f>Сводный!D130</f>
        <v>0</v>
      </c>
      <c r="K95" s="79"/>
    </row>
    <row r="96" spans="2:11" ht="15">
      <c r="B96" s="69"/>
      <c r="C96" s="58" t="s">
        <v>273</v>
      </c>
      <c r="D96" s="55"/>
      <c r="E96" s="55"/>
      <c r="F96" s="27"/>
      <c r="G96" s="55"/>
      <c r="H96" s="97">
        <f>Сводный!B113</f>
        <v>3693.6</v>
      </c>
      <c r="I96" s="97">
        <f>Сводный!C113</f>
        <v>3693.6</v>
      </c>
      <c r="J96" s="97">
        <f>Сводный!D113</f>
        <v>0</v>
      </c>
      <c r="K96" s="79"/>
    </row>
    <row r="97" spans="2:11" ht="15">
      <c r="B97" s="69"/>
      <c r="C97" s="58" t="s">
        <v>274</v>
      </c>
      <c r="D97" s="55">
        <v>30000</v>
      </c>
      <c r="E97" s="55">
        <v>2500</v>
      </c>
      <c r="F97" s="27">
        <v>0.14713585347623168</v>
      </c>
      <c r="G97" s="55"/>
      <c r="H97" s="97">
        <f>Сводный!B103+Сводный!B104+Сводный!B105</f>
        <v>40251.03</v>
      </c>
      <c r="I97" s="97">
        <f>Сводный!C103+Сводный!C104+Сводный!C105</f>
        <v>40251.03</v>
      </c>
      <c r="J97" s="97">
        <f>Сводный!D103+Сводный!D104+Сводный!D105</f>
        <v>0</v>
      </c>
      <c r="K97" s="79"/>
    </row>
    <row r="98" spans="2:11" ht="15">
      <c r="B98" s="69"/>
      <c r="C98" s="71" t="s">
        <v>275</v>
      </c>
      <c r="D98" s="55">
        <v>254662</v>
      </c>
      <c r="E98" s="55">
        <v>21221.833333333332</v>
      </c>
      <c r="F98" s="27">
        <v>1.248997023932137</v>
      </c>
      <c r="G98" s="55"/>
      <c r="H98" s="97">
        <f>Сводный!B140</f>
        <v>277958.01</v>
      </c>
      <c r="I98" s="97">
        <f>Сводный!C140</f>
        <v>168799.17</v>
      </c>
      <c r="J98" s="97">
        <f>Сводный!D140</f>
        <v>109158.84</v>
      </c>
      <c r="K98" s="79"/>
    </row>
    <row r="99" spans="2:11" ht="15">
      <c r="B99" s="69"/>
      <c r="C99" s="58" t="s">
        <v>276</v>
      </c>
      <c r="D99" s="55">
        <v>3160</v>
      </c>
      <c r="E99" s="55">
        <v>263.3333333333333</v>
      </c>
      <c r="F99" s="27">
        <v>0.015498309899496404</v>
      </c>
      <c r="G99" s="55"/>
      <c r="H99" s="97"/>
      <c r="I99" s="97"/>
      <c r="J99" s="97"/>
      <c r="K99" s="79"/>
    </row>
    <row r="100" spans="2:11" ht="47.25">
      <c r="B100" s="76" t="s">
        <v>277</v>
      </c>
      <c r="C100" s="78" t="s">
        <v>300</v>
      </c>
      <c r="D100" s="54">
        <v>20000</v>
      </c>
      <c r="E100" s="54">
        <v>1666.6666666666667</v>
      </c>
      <c r="F100" s="68">
        <v>0.09809056898415446</v>
      </c>
      <c r="G100" s="55"/>
      <c r="H100" s="96">
        <f>SUM(H101:H104)</f>
        <v>15984.130000000001</v>
      </c>
      <c r="I100" s="96">
        <f>SUM(I101:I104)</f>
        <v>15984.130000000001</v>
      </c>
      <c r="J100" s="96">
        <f>SUM(J101:J104)</f>
        <v>0</v>
      </c>
      <c r="K100" s="79"/>
    </row>
    <row r="101" spans="2:10" ht="15">
      <c r="B101" s="69"/>
      <c r="C101" s="71" t="s">
        <v>278</v>
      </c>
      <c r="D101" s="55"/>
      <c r="E101" s="55"/>
      <c r="F101" s="27"/>
      <c r="G101" s="55"/>
      <c r="H101" s="97">
        <f>Сводный!B133</f>
        <v>6770</v>
      </c>
      <c r="I101" s="97">
        <f>Сводный!C133</f>
        <v>6770</v>
      </c>
      <c r="J101" s="97">
        <f>Сводный!D133</f>
        <v>0</v>
      </c>
    </row>
    <row r="102" spans="2:11" ht="15.75">
      <c r="B102" s="76"/>
      <c r="C102" s="71" t="s">
        <v>279</v>
      </c>
      <c r="D102" s="55"/>
      <c r="E102" s="55"/>
      <c r="F102" s="27"/>
      <c r="G102" s="55"/>
      <c r="H102" s="97">
        <f>Сводный!B131</f>
        <v>2387.67</v>
      </c>
      <c r="I102" s="97">
        <f>Сводный!C131</f>
        <v>2387.67</v>
      </c>
      <c r="J102" s="97">
        <f>Сводный!D131</f>
        <v>0</v>
      </c>
      <c r="K102" s="79"/>
    </row>
    <row r="103" spans="2:11" ht="15.75">
      <c r="B103" s="76"/>
      <c r="C103" s="71" t="s">
        <v>280</v>
      </c>
      <c r="D103" s="55"/>
      <c r="E103" s="55"/>
      <c r="F103" s="27"/>
      <c r="G103" s="55"/>
      <c r="H103" s="97">
        <f>Сводный!B112</f>
        <v>6508.26</v>
      </c>
      <c r="I103" s="97">
        <f>Сводный!C112</f>
        <v>6508.26</v>
      </c>
      <c r="J103" s="97">
        <f>Сводный!D112</f>
        <v>0</v>
      </c>
      <c r="K103" s="79"/>
    </row>
    <row r="104" spans="2:11" ht="15.75">
      <c r="B104" s="76"/>
      <c r="C104" s="71" t="s">
        <v>111</v>
      </c>
      <c r="D104" s="55"/>
      <c r="E104" s="55">
        <v>0</v>
      </c>
      <c r="F104" s="55"/>
      <c r="G104" s="55"/>
      <c r="H104" s="97">
        <f>Сводный!B135</f>
        <v>318.2</v>
      </c>
      <c r="I104" s="97">
        <f>Сводный!C135</f>
        <v>318.2</v>
      </c>
      <c r="J104" s="97">
        <f>Сводный!D135</f>
        <v>0</v>
      </c>
      <c r="K104" s="79"/>
    </row>
    <row r="105" spans="2:13" ht="15.75">
      <c r="B105" s="76" t="s">
        <v>281</v>
      </c>
      <c r="C105" s="78" t="s">
        <v>282</v>
      </c>
      <c r="D105" s="54">
        <v>209400</v>
      </c>
      <c r="E105" s="54">
        <v>17450</v>
      </c>
      <c r="F105" s="55"/>
      <c r="G105" s="55"/>
      <c r="H105" s="96">
        <f>SUM(H106:H113)</f>
        <v>178461.64</v>
      </c>
      <c r="I105" s="96">
        <f>SUM(I106:I113)</f>
        <v>178461.64</v>
      </c>
      <c r="J105" s="96">
        <f>SUM(J106:J113)</f>
        <v>0</v>
      </c>
      <c r="K105" s="79"/>
      <c r="L105" s="34" t="s">
        <v>330</v>
      </c>
      <c r="M105" s="63">
        <f>D105-H105</f>
        <v>30938.359999999986</v>
      </c>
    </row>
    <row r="106" spans="2:12" ht="15.75">
      <c r="B106" s="76"/>
      <c r="C106" s="58" t="s">
        <v>283</v>
      </c>
      <c r="D106" s="55">
        <v>136000</v>
      </c>
      <c r="E106" s="55">
        <v>11333.333333333334</v>
      </c>
      <c r="F106" s="55"/>
      <c r="G106" s="55"/>
      <c r="H106" s="97"/>
      <c r="I106" s="97"/>
      <c r="J106" s="97"/>
      <c r="K106" s="79"/>
      <c r="L106" s="34" t="s">
        <v>332</v>
      </c>
    </row>
    <row r="107" spans="2:11" ht="30">
      <c r="B107" s="73"/>
      <c r="C107" s="58" t="s">
        <v>151</v>
      </c>
      <c r="D107" s="55">
        <v>50000</v>
      </c>
      <c r="E107" s="55">
        <v>4166.666666666667</v>
      </c>
      <c r="F107" s="55"/>
      <c r="G107" s="55"/>
      <c r="H107" s="97">
        <f>Сводный!B98</f>
        <v>29500</v>
      </c>
      <c r="I107" s="97">
        <f>Сводный!C98</f>
        <v>29500</v>
      </c>
      <c r="J107" s="97">
        <f>Сводный!D98</f>
        <v>0</v>
      </c>
      <c r="K107" s="79"/>
    </row>
    <row r="108" spans="2:11" ht="30">
      <c r="B108" s="73"/>
      <c r="C108" s="71" t="s">
        <v>152</v>
      </c>
      <c r="D108" s="55">
        <v>15000</v>
      </c>
      <c r="E108" s="55">
        <v>1250</v>
      </c>
      <c r="F108" s="55"/>
      <c r="G108" s="55"/>
      <c r="H108" s="97"/>
      <c r="I108" s="97"/>
      <c r="J108" s="97"/>
      <c r="K108" s="79"/>
    </row>
    <row r="109" spans="2:11" ht="15">
      <c r="B109" s="73"/>
      <c r="C109" s="71" t="s">
        <v>153</v>
      </c>
      <c r="D109" s="55">
        <v>8400</v>
      </c>
      <c r="E109" s="55">
        <v>700</v>
      </c>
      <c r="F109" s="55"/>
      <c r="G109" s="55"/>
      <c r="H109" s="97">
        <f>Сводный!B100+Сводный!B136+Сводный!B132</f>
        <v>11069.39</v>
      </c>
      <c r="I109" s="97">
        <f>Сводный!C100+Сводный!C136+Сводный!C132</f>
        <v>11069.39</v>
      </c>
      <c r="J109" s="97">
        <f>Сводный!D100+Сводный!D136+Сводный!D132</f>
        <v>0</v>
      </c>
      <c r="K109" s="79"/>
    </row>
    <row r="110" spans="2:11" ht="15">
      <c r="B110" s="73"/>
      <c r="C110" s="71" t="s">
        <v>154</v>
      </c>
      <c r="D110" s="55"/>
      <c r="E110" s="55"/>
      <c r="F110" s="55"/>
      <c r="G110" s="55"/>
      <c r="H110" s="97">
        <f>Сводный!B108</f>
        <v>60900</v>
      </c>
      <c r="I110" s="97">
        <f>Сводный!C108</f>
        <v>60900</v>
      </c>
      <c r="J110" s="97">
        <f>Сводный!D108</f>
        <v>0</v>
      </c>
      <c r="K110" s="79"/>
    </row>
    <row r="111" spans="2:11" ht="15">
      <c r="B111" s="73"/>
      <c r="C111" s="71" t="s">
        <v>155</v>
      </c>
      <c r="D111" s="55"/>
      <c r="E111" s="55"/>
      <c r="F111" s="55"/>
      <c r="G111" s="55"/>
      <c r="H111" s="97">
        <f>Сводный!B134</f>
        <v>34585</v>
      </c>
      <c r="I111" s="97">
        <f>Сводный!C134</f>
        <v>34585</v>
      </c>
      <c r="J111" s="97">
        <f>Сводный!D134</f>
        <v>0</v>
      </c>
      <c r="K111" s="79"/>
    </row>
    <row r="112" spans="2:11" ht="15">
      <c r="B112" s="73"/>
      <c r="C112" s="71" t="s">
        <v>47</v>
      </c>
      <c r="D112" s="55"/>
      <c r="E112" s="55"/>
      <c r="F112" s="55"/>
      <c r="G112" s="55"/>
      <c r="H112" s="97">
        <f>Сводный!B76</f>
        <v>31986.01</v>
      </c>
      <c r="I112" s="97">
        <f>Сводный!C76</f>
        <v>31986.01</v>
      </c>
      <c r="J112" s="97">
        <f>Сводный!D76</f>
        <v>0</v>
      </c>
      <c r="K112" s="79"/>
    </row>
    <row r="113" spans="2:11" ht="15">
      <c r="B113" s="73"/>
      <c r="C113" s="71" t="s">
        <v>156</v>
      </c>
      <c r="D113" s="55"/>
      <c r="E113" s="55"/>
      <c r="F113" s="55"/>
      <c r="G113" s="55"/>
      <c r="H113" s="97">
        <f>Сводный!B107</f>
        <v>10421.24</v>
      </c>
      <c r="I113" s="97">
        <f>Сводный!C107</f>
        <v>10421.24</v>
      </c>
      <c r="J113" s="97">
        <f>Сводный!D107</f>
        <v>0</v>
      </c>
      <c r="K113" s="79"/>
    </row>
    <row r="114" spans="2:11" ht="15.75">
      <c r="B114" s="76" t="s">
        <v>284</v>
      </c>
      <c r="C114" s="78" t="s">
        <v>285</v>
      </c>
      <c r="D114" s="54">
        <v>122615.39999999997</v>
      </c>
      <c r="E114" s="54">
        <v>10217.949999999997</v>
      </c>
      <c r="F114" s="55"/>
      <c r="G114" s="80" t="s">
        <v>328</v>
      </c>
      <c r="H114" s="99">
        <f>H32-H123</f>
        <v>33262.18000000063</v>
      </c>
      <c r="I114" s="99">
        <f>I32-I123</f>
        <v>242299.02000000048</v>
      </c>
      <c r="J114" s="99">
        <f>J32-J123</f>
        <v>-209036.83999999985</v>
      </c>
      <c r="K114" s="81"/>
    </row>
    <row r="115" spans="2:11" ht="15.75">
      <c r="B115" s="76"/>
      <c r="C115" s="50"/>
      <c r="D115" s="55"/>
      <c r="E115" s="55">
        <v>0</v>
      </c>
      <c r="F115" s="55"/>
      <c r="G115" s="55"/>
      <c r="H115" s="97"/>
      <c r="I115" s="97"/>
      <c r="J115" s="97"/>
      <c r="K115" s="46"/>
    </row>
    <row r="116" spans="2:11" ht="15.75">
      <c r="B116" s="76" t="s">
        <v>286</v>
      </c>
      <c r="C116" s="78" t="s">
        <v>287</v>
      </c>
      <c r="D116" s="54">
        <v>0</v>
      </c>
      <c r="E116" s="54">
        <v>0</v>
      </c>
      <c r="F116" s="55"/>
      <c r="G116" s="55"/>
      <c r="H116" s="97"/>
      <c r="I116" s="97"/>
      <c r="J116" s="97"/>
      <c r="K116" s="46"/>
    </row>
    <row r="117" spans="2:11" ht="15.75">
      <c r="B117" s="76"/>
      <c r="C117" s="78"/>
      <c r="D117" s="54"/>
      <c r="E117" s="54">
        <v>0</v>
      </c>
      <c r="F117" s="55"/>
      <c r="G117" s="55"/>
      <c r="H117" s="97"/>
      <c r="I117" s="97"/>
      <c r="J117" s="97"/>
      <c r="K117" s="46"/>
    </row>
    <row r="118" spans="2:11" ht="15.75">
      <c r="B118" s="76" t="s">
        <v>288</v>
      </c>
      <c r="C118" s="78" t="s">
        <v>289</v>
      </c>
      <c r="D118" s="54">
        <v>3000000</v>
      </c>
      <c r="E118" s="54">
        <v>250000</v>
      </c>
      <c r="F118" s="57"/>
      <c r="G118" s="57"/>
      <c r="H118" s="96">
        <f>SUM(H119:H121)</f>
        <v>4217044.6899999995</v>
      </c>
      <c r="I118" s="96">
        <f>SUM(I119:I121)</f>
        <v>3180572.64</v>
      </c>
      <c r="J118" s="96">
        <f>SUM(J119:J121)</f>
        <v>1036472.0499999998</v>
      </c>
      <c r="K118" s="46"/>
    </row>
    <row r="119" spans="2:11" ht="15.75">
      <c r="B119" s="82"/>
      <c r="C119" s="83" t="s">
        <v>73</v>
      </c>
      <c r="D119" s="57"/>
      <c r="E119" s="57"/>
      <c r="F119" s="55"/>
      <c r="G119" s="55"/>
      <c r="H119" s="97">
        <f>Сводный!B141</f>
        <v>614697.52</v>
      </c>
      <c r="I119" s="97">
        <f>Сводный!C141</f>
        <v>458257.11000000004</v>
      </c>
      <c r="J119" s="97">
        <f>Сводный!D141</f>
        <v>156440.40999999997</v>
      </c>
      <c r="K119" s="46"/>
    </row>
    <row r="120" spans="2:11" ht="15.75">
      <c r="B120" s="82"/>
      <c r="C120" s="83" t="s">
        <v>74</v>
      </c>
      <c r="D120" s="84"/>
      <c r="E120" s="84"/>
      <c r="F120" s="55"/>
      <c r="G120" s="55"/>
      <c r="H120" s="97">
        <f>Сводный!B142</f>
        <v>1497231.3599999999</v>
      </c>
      <c r="I120" s="97">
        <f>Сводный!C142</f>
        <v>1083743.64</v>
      </c>
      <c r="J120" s="97">
        <f>Сводный!D142</f>
        <v>413487.72</v>
      </c>
      <c r="K120" s="46"/>
    </row>
    <row r="121" spans="2:11" ht="15.75">
      <c r="B121" s="82"/>
      <c r="C121" s="83" t="s">
        <v>75</v>
      </c>
      <c r="D121" s="84"/>
      <c r="E121" s="84"/>
      <c r="F121" s="55"/>
      <c r="G121" s="55"/>
      <c r="H121" s="97">
        <f>Сводный!B143</f>
        <v>2105115.81</v>
      </c>
      <c r="I121" s="97">
        <f>Сводный!C143</f>
        <v>1638571.8900000001</v>
      </c>
      <c r="J121" s="97">
        <f>Сводный!D143</f>
        <v>466543.9199999999</v>
      </c>
      <c r="K121" s="46"/>
    </row>
    <row r="122" spans="2:13" ht="15.75">
      <c r="B122" s="82"/>
      <c r="C122" s="85"/>
      <c r="D122" s="84"/>
      <c r="E122" s="84"/>
      <c r="F122" s="79"/>
      <c r="G122" s="79"/>
      <c r="H122" s="86"/>
      <c r="I122" s="86"/>
      <c r="J122" s="86"/>
      <c r="K122" s="46"/>
      <c r="M122" s="33" t="s">
        <v>331</v>
      </c>
    </row>
    <row r="123" spans="2:13" s="46" customFormat="1" ht="15.75">
      <c r="B123" s="87" t="s">
        <v>290</v>
      </c>
      <c r="C123" s="88" t="s">
        <v>291</v>
      </c>
      <c r="D123" s="84">
        <v>6034470.900075</v>
      </c>
      <c r="E123" s="84">
        <v>502872.57500625</v>
      </c>
      <c r="F123" s="61"/>
      <c r="H123" s="62">
        <f>H118+H68+H67+H105</f>
        <v>7043197.909999999</v>
      </c>
      <c r="I123" s="62">
        <f>I118+I68+I67+I105</f>
        <v>5830576.05</v>
      </c>
      <c r="J123" s="62">
        <f>J118+J68+J67+J105</f>
        <v>1212621.8599999999</v>
      </c>
      <c r="L123" s="86"/>
      <c r="M123" s="63">
        <f>SUM(M67:M105)</f>
        <v>19702.280074999784</v>
      </c>
    </row>
    <row r="124" ht="15">
      <c r="H124" s="63"/>
    </row>
    <row r="125" spans="3:9" ht="15">
      <c r="C125" s="34" t="s">
        <v>292</v>
      </c>
      <c r="D125" s="65">
        <v>0</v>
      </c>
      <c r="E125" s="65"/>
      <c r="F125" s="65"/>
      <c r="H125" s="63">
        <f>H32-H123</f>
        <v>33262.18000000063</v>
      </c>
      <c r="I125" s="63"/>
    </row>
    <row r="126" spans="3:9" ht="15">
      <c r="C126" s="34" t="s">
        <v>314</v>
      </c>
      <c r="H126" s="63">
        <f>H31-H118</f>
        <v>-163197.75</v>
      </c>
      <c r="I126" s="63"/>
    </row>
    <row r="127" ht="15">
      <c r="H127" s="63"/>
    </row>
    <row r="129" spans="7:10" ht="15">
      <c r="G129" s="33" t="s">
        <v>313</v>
      </c>
      <c r="H129" s="63">
        <f>Сводный!B144</f>
        <v>7138197.909999998</v>
      </c>
      <c r="I129" s="63">
        <f>Сводный!C144</f>
        <v>5903576.049999999</v>
      </c>
      <c r="J129" s="63">
        <f>Сводный!D144</f>
        <v>1234621.8599999994</v>
      </c>
    </row>
    <row r="130" spans="8:10" ht="15">
      <c r="H130" s="63">
        <f>H129-H123</f>
        <v>94999.99999999907</v>
      </c>
      <c r="I130" s="63">
        <f>I129-I123</f>
        <v>72999.99999999907</v>
      </c>
      <c r="J130" s="63">
        <f>J129-J123</f>
        <v>21999.999999999534</v>
      </c>
    </row>
    <row r="133" spans="8:9" ht="15">
      <c r="H133" s="63">
        <f>H123-H118</f>
        <v>2826153.2199999997</v>
      </c>
      <c r="I133" s="63">
        <f>I123-I118</f>
        <v>2650003.4099999997</v>
      </c>
    </row>
    <row r="135" ht="15">
      <c r="I135" s="147">
        <f>I133/M25</f>
        <v>0.8732999910905398</v>
      </c>
    </row>
  </sheetData>
  <sheetProtection/>
  <mergeCells count="13">
    <mergeCell ref="B18:B19"/>
    <mergeCell ref="C18:C19"/>
    <mergeCell ref="D18:F18"/>
    <mergeCell ref="K18:K19"/>
    <mergeCell ref="E7:F7"/>
    <mergeCell ref="E8:F8"/>
    <mergeCell ref="E9:F9"/>
    <mergeCell ref="E10:F10"/>
    <mergeCell ref="E11:F11"/>
    <mergeCell ref="G18:G19"/>
    <mergeCell ref="H18:H19"/>
    <mergeCell ref="I18:I19"/>
    <mergeCell ref="J18:J19"/>
  </mergeCells>
  <printOptions horizontalCentered="1"/>
  <pageMargins left="0.5905511811023623" right="0.3937007874015748" top="0.3937007874015748" bottom="0.3937007874015748" header="0.5118110236220472" footer="0.5118110236220472"/>
  <pageSetup fitToHeight="3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Уралспецдеп1</dc:creator>
  <cp:keywords/>
  <dc:description/>
  <cp:lastModifiedBy>0305_buh5</cp:lastModifiedBy>
  <cp:lastPrinted>2010-09-10T06:12:58Z</cp:lastPrinted>
  <dcterms:created xsi:type="dcterms:W3CDTF">2010-02-15T07:44:57Z</dcterms:created>
  <dcterms:modified xsi:type="dcterms:W3CDTF">2010-09-10T06:13:39Z</dcterms:modified>
  <cp:category/>
  <cp:version/>
  <cp:contentType/>
  <cp:contentStatus/>
</cp:coreProperties>
</file>