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9170" windowHeight="4545" activeTab="1"/>
  </bookViews>
  <sheets>
    <sheet name="ОДДС 2010" sheetId="1" r:id="rId1"/>
    <sheet name="Сводный" sheetId="2" r:id="rId2"/>
    <sheet name="Провайдеры" sheetId="3" r:id="rId3"/>
    <sheet name="отчет по смете 2010" sheetId="4" r:id="rId4"/>
  </sheets>
  <externalReferences>
    <externalReference r:id="rId7"/>
    <externalReference r:id="rId8"/>
  </externalReferences>
  <definedNames>
    <definedName name="_xlnm._FilterDatabase" localSheetId="0" hidden="1">'ОДДС 2010'!$A$243:$O$401</definedName>
    <definedName name="_xlnm._FilterDatabase" localSheetId="1" hidden="1">'Сводный'!$A$46:$F$203</definedName>
    <definedName name="_xlnm.Print_Titles" localSheetId="0">'ОДДС 2010'!$87:$87</definedName>
  </definedNames>
  <calcPr fullCalcOnLoad="1"/>
</workbook>
</file>

<file path=xl/comments1.xml><?xml version="1.0" encoding="utf-8"?>
<comments xmlns="http://schemas.openxmlformats.org/spreadsheetml/2006/main">
  <authors>
    <author>MK Computer</author>
    <author>1</author>
    <author>ОКСАНА</author>
  </authors>
  <commentList>
    <comment ref="K82" authorId="0">
      <text>
        <r>
          <rPr>
            <b/>
            <sz val="8"/>
            <rFont val="Tahoma"/>
            <family val="0"/>
          </rPr>
          <t>MK Computer:</t>
        </r>
        <r>
          <rPr>
            <sz val="8"/>
            <rFont val="Tahoma"/>
            <family val="0"/>
          </rPr>
          <t xml:space="preserve">
Яковлев
</t>
        </r>
      </text>
    </comment>
    <comment ref="G215" authorId="1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>запрос в бти</t>
        </r>
      </text>
    </comment>
    <comment ref="I219" authorId="1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>насос</t>
        </r>
      </text>
    </comment>
    <comment ref="L231" authorId="1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>вазоны</t>
        </r>
      </text>
    </comment>
    <comment ref="J91" authorId="1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договор подряда
</t>
        </r>
      </text>
    </comment>
    <comment ref="K91" authorId="1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договор подряда
</t>
        </r>
      </text>
    </comment>
    <comment ref="L91" authorId="1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договор подряда
</t>
        </r>
      </text>
    </comment>
    <comment ref="M91" authorId="1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договор подряда
</t>
        </r>
      </text>
    </comment>
    <comment ref="K210" authorId="0">
      <text>
        <r>
          <rPr>
            <b/>
            <sz val="8"/>
            <rFont val="Tahoma"/>
            <family val="0"/>
          </rPr>
          <t>MK Computer:</t>
        </r>
        <r>
          <rPr>
            <sz val="8"/>
            <rFont val="Tahoma"/>
            <family val="0"/>
          </rPr>
          <t xml:space="preserve">
трансформаторы 4 шт
</t>
        </r>
      </text>
    </comment>
    <comment ref="K183" authorId="0">
      <text>
        <r>
          <rPr>
            <b/>
            <sz val="8"/>
            <rFont val="Tahoma"/>
            <family val="0"/>
          </rPr>
          <t>MK Computer:</t>
        </r>
        <r>
          <rPr>
            <sz val="8"/>
            <rFont val="Tahoma"/>
            <family val="0"/>
          </rPr>
          <t xml:space="preserve">
клапаны - 10 шт, манометры 10 шт
</t>
        </r>
      </text>
    </comment>
    <comment ref="K174" authorId="0">
      <text>
        <r>
          <rPr>
            <sz val="8"/>
            <rFont val="Tahoma"/>
            <family val="0"/>
          </rPr>
          <t xml:space="preserve">переходы (сгоны)
</t>
        </r>
      </text>
    </comment>
    <comment ref="L210" authorId="0">
      <text>
        <r>
          <rPr>
            <b/>
            <sz val="8"/>
            <rFont val="Tahoma"/>
            <family val="0"/>
          </rPr>
          <t>MK Computer:</t>
        </r>
        <r>
          <rPr>
            <sz val="8"/>
            <rFont val="Tahoma"/>
            <family val="0"/>
          </rPr>
          <t xml:space="preserve">
лампы
</t>
        </r>
      </text>
    </comment>
    <comment ref="L190" authorId="0">
      <text>
        <r>
          <rPr>
            <b/>
            <sz val="8"/>
            <rFont val="Tahoma"/>
            <family val="0"/>
          </rPr>
          <t>MK Computer:</t>
        </r>
        <r>
          <rPr>
            <sz val="8"/>
            <rFont val="Tahoma"/>
            <family val="0"/>
          </rPr>
          <t xml:space="preserve">
насос
</t>
        </r>
      </text>
    </comment>
    <comment ref="M151" authorId="0">
      <text>
        <r>
          <rPr>
            <b/>
            <sz val="8"/>
            <rFont val="Tahoma"/>
            <family val="0"/>
          </rPr>
          <t>MK Computer:</t>
        </r>
        <r>
          <rPr>
            <sz val="8"/>
            <rFont val="Tahoma"/>
            <family val="0"/>
          </rPr>
          <t xml:space="preserve">
Проведение периодического технического освидетельствования 2 лифтов, электроизмерения, рег № 16953, 16954</t>
        </r>
      </text>
    </comment>
    <comment ref="M81" authorId="1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в/з с ЕРЦ</t>
        </r>
      </text>
    </comment>
    <comment ref="O81" authorId="2">
      <text>
        <r>
          <rPr>
            <b/>
            <sz val="9"/>
            <rFont val="Tahoma"/>
            <family val="0"/>
          </rPr>
          <t>ОКСАНА:</t>
        </r>
        <r>
          <rPr>
            <sz val="9"/>
            <rFont val="Tahoma"/>
            <family val="0"/>
          </rPr>
          <t xml:space="preserve">
ЕРЦ взаимозачет
</t>
        </r>
      </text>
    </comment>
    <comment ref="N91" authorId="1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договор подряда
</t>
        </r>
      </text>
    </comment>
    <comment ref="O91" authorId="1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договор подряда
</t>
        </r>
      </text>
    </comment>
  </commentList>
</comments>
</file>

<file path=xl/sharedStrings.xml><?xml version="1.0" encoding="utf-8"?>
<sst xmlns="http://schemas.openxmlformats.org/spreadsheetml/2006/main" count="714" uniqueCount="419">
  <si>
    <t>№ п/п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</si>
  <si>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</si>
  <si>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</si>
  <si>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</si>
  <si>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</si>
  <si>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</si>
  <si>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</si>
  <si>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</si>
  <si>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</si>
  <si>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</si>
  <si>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</si>
  <si>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</si>
  <si>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</si>
  <si>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</si>
  <si>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квартиры</t>
  </si>
  <si>
    <t>офисы</t>
  </si>
  <si>
    <t>гаражи</t>
  </si>
  <si>
    <t>Отопление</t>
  </si>
  <si>
    <t>ХВС</t>
  </si>
  <si>
    <t>ГВС подача</t>
  </si>
  <si>
    <t>ГВС нагрев</t>
  </si>
  <si>
    <t>Водоотведение</t>
  </si>
  <si>
    <t>Электроэнергия</t>
  </si>
  <si>
    <t>Пени</t>
  </si>
  <si>
    <t>РЕЗУЛЬТАТЫ ДЕЯТЕЛЬНОСТИ ПОМЕСЯЧНО ТСЖ"ТАТИЩЕВА,92"</t>
  </si>
  <si>
    <t>Выставлено счетов поставщиками, начислено расходов ТСЖ</t>
  </si>
  <si>
    <t>председатель</t>
  </si>
  <si>
    <t>бухгалтер по начислениям</t>
  </si>
  <si>
    <t>дворник, уборщицы</t>
  </si>
  <si>
    <t>энергетик</t>
  </si>
  <si>
    <t>диспетчерское обслуживание</t>
  </si>
  <si>
    <t>ООО "РЭП "Горкоммунсервис"</t>
  </si>
  <si>
    <t>комплекс услуг по сопровождению работы ТСЖ и обслуживанию дома</t>
  </si>
  <si>
    <t>ООО "Аспект"</t>
  </si>
  <si>
    <t>ООО "Интерэнерго"</t>
  </si>
  <si>
    <t>обслуживание общедом. узлов учета теплоэнергии</t>
  </si>
  <si>
    <t>обслуживание ИТП и приборов КИПиА</t>
  </si>
  <si>
    <t xml:space="preserve">восстановление общедом. узлов учета теплоэнергии </t>
  </si>
  <si>
    <t>обслуживание системы сбора показаний индивидуальных приборов учета</t>
  </si>
  <si>
    <t>ООО "Лифтмонтаж-1"</t>
  </si>
  <si>
    <t>техобслуживание и ремонт лифтов</t>
  </si>
  <si>
    <t>ООО "УИЦ "Союзлифтмонтаж" (техосвидетельствование лифтов)</t>
  </si>
  <si>
    <t>УЖКХ Верх-Исетского района (паспортное обслуживание)</t>
  </si>
  <si>
    <t>ЗАО "Городская дезинфекционная станция" (санитарная обработка подвалов от грызунов)</t>
  </si>
  <si>
    <t>Филиал ООО СК "Цюрих. Ритейл" в г. Екатеринбурге (страхование лифтов)</t>
  </si>
  <si>
    <t>ОАО "Русь-Банк-Урал" расчетно-кассовое обслуживание</t>
  </si>
  <si>
    <t>ООО "Единый расчетный центр" услуги оператора по договору о приеме платежей</t>
  </si>
  <si>
    <t>ООО "Центр Бонус" обновление и сопровождение программ</t>
  </si>
  <si>
    <t>расчетное обслуживание</t>
  </si>
  <si>
    <t>покупка ПО "Арча" -Учет доходов физических лиц"</t>
  </si>
  <si>
    <t>покупка ПО "Учет расчетов и денежных средств" Альфа</t>
  </si>
  <si>
    <t>ООО "Химтес-Электро" электротовары, лампы</t>
  </si>
  <si>
    <t>ЗАО "УЦСК"Сантехкомплект-Урал" сантехматериалы</t>
  </si>
  <si>
    <t>ООО "ВИЗАВИ" аренда зала для проведения общего собрания</t>
  </si>
  <si>
    <t>ООО "ДЭП "Эдельвейс" уборка и вывоз снега техникой</t>
  </si>
  <si>
    <t>ЕМУП "Спецавтобаза"</t>
  </si>
  <si>
    <t>МУП "Водоканал"</t>
  </si>
  <si>
    <t>ОАО "МК "Уралметпром"</t>
  </si>
  <si>
    <t>ОАО "Екатеринбургэнергосбыт"</t>
  </si>
  <si>
    <t>Содержание и ремонт общедомового имущества</t>
  </si>
  <si>
    <t>Взносы на капитальный ремонт</t>
  </si>
  <si>
    <t>АВАНСОВЫЕ ОТЧЕТЫ</t>
  </si>
  <si>
    <t>Богданов М.И.</t>
  </si>
  <si>
    <t>Зеленый В.А.</t>
  </si>
  <si>
    <t>ремонт насосов ХВС 3 шт.</t>
  </si>
  <si>
    <t>хозтовары</t>
  </si>
  <si>
    <t>сантехматериалы</t>
  </si>
  <si>
    <t>Налог на УСН</t>
  </si>
  <si>
    <t>Плата провайдеров за размещение оборудования связи в доме</t>
  </si>
  <si>
    <t>ООО "Средураллифт" техобслуживание ЛДСС (лифтовой диспетчерской сигнальной связи)</t>
  </si>
  <si>
    <t>Начислено собственникам, арендаторам</t>
  </si>
  <si>
    <t>Оплата труда, включая РК, ЕСН, НС и ПЗ, НДФЛ, в том числе:</t>
  </si>
  <si>
    <t>Оплачено собственниками, арендаторами</t>
  </si>
  <si>
    <t>Оплачено счетов поставщикам, произведено расходов ТСЖ</t>
  </si>
  <si>
    <t>Перерасчет</t>
  </si>
  <si>
    <t>Начислено арендаторам</t>
  </si>
  <si>
    <t>ООО "АКАДО-Екатеринбург"</t>
  </si>
  <si>
    <t>ООО "Комтехцентр" (ТМ Планета)</t>
  </si>
  <si>
    <t>ООО «Конвекс-Восток» (НТЦ «Интек»)</t>
  </si>
  <si>
    <t>ООО ЧОП "Ланцелот"</t>
  </si>
  <si>
    <t>ООО «НТЦ Новатор»</t>
  </si>
  <si>
    <t>ООО "Инсис"</t>
  </si>
  <si>
    <t>ООО «Престиж-Интернет» (Энфорта)</t>
  </si>
  <si>
    <t>ЕФ ООО «СЦС Совинтел» (Билайн-Бизнес)</t>
  </si>
  <si>
    <t>ЗАО «Телефонная компания-Урал» (Синтерра-Урал)</t>
  </si>
  <si>
    <t>ЗАО «Урал-ТрансТелеКом»</t>
  </si>
  <si>
    <t>ИТОГО</t>
  </si>
  <si>
    <t>Оплачено арендаторами</t>
  </si>
  <si>
    <t>Доходы</t>
  </si>
  <si>
    <t>План, руб.</t>
  </si>
  <si>
    <t>Факт,руб.</t>
  </si>
  <si>
    <t>Долг  ТСЖ перед поставщиками, руб.</t>
  </si>
  <si>
    <t xml:space="preserve">ОТЧЕТ ПО ИСПОЛНЕНИЮ СМЕТЫ ДОХОДОВ И РАСХОДОВ </t>
  </si>
  <si>
    <t>на управление, содержание и ремонт общего имущества</t>
  </si>
  <si>
    <t>Справочная информация</t>
  </si>
  <si>
    <t>Кол-во</t>
  </si>
  <si>
    <t>Площадь жилых помещений, кв.м.</t>
  </si>
  <si>
    <t>Площадь офисов, кв.м.</t>
  </si>
  <si>
    <t>Площадь гаражных боксов, кв.м.</t>
  </si>
  <si>
    <t>ИТОГО общая площадь, кв.м.:</t>
  </si>
  <si>
    <t>Количество лифтов,шт.</t>
  </si>
  <si>
    <t>Количество подъездов, шт.</t>
  </si>
  <si>
    <t>Количество квартир, шт.</t>
  </si>
  <si>
    <t>Количество офисов, шт.</t>
  </si>
  <si>
    <t>Количество гаражных боксов, шт.</t>
  </si>
  <si>
    <t>Статьи доходов и расходов</t>
  </si>
  <si>
    <t>ДОХОДЫ</t>
  </si>
  <si>
    <t>1.1.</t>
  </si>
  <si>
    <t>1.2.</t>
  </si>
  <si>
    <t>1.3.</t>
  </si>
  <si>
    <t>Плата за содержание и ремонт общего имущества в доме</t>
  </si>
  <si>
    <t>от собственников жилых помещений</t>
  </si>
  <si>
    <t>от собственников офисов</t>
  </si>
  <si>
    <t>от собственников гаражных боксов</t>
  </si>
  <si>
    <t>1.4.</t>
  </si>
  <si>
    <t>Доходы от сдачи в аренду общего имущества ТСЖ</t>
  </si>
  <si>
    <t>1.5.</t>
  </si>
  <si>
    <t>1.6.</t>
  </si>
  <si>
    <t>1.8.</t>
  </si>
  <si>
    <t>ИТОГО ДОХОДОВ:</t>
  </si>
  <si>
    <t>РАСХОДЫ</t>
  </si>
  <si>
    <t>2.1.</t>
  </si>
  <si>
    <t>2.2.</t>
  </si>
  <si>
    <t>Административно-управленческие расходы ТСЖ, в том числе:</t>
  </si>
  <si>
    <t>2.2.1.</t>
  </si>
  <si>
    <t>2.2.2.</t>
  </si>
  <si>
    <t>налог на УСН</t>
  </si>
  <si>
    <t>2.2.3.</t>
  </si>
  <si>
    <t>2.2.4.</t>
  </si>
  <si>
    <t>2.3.</t>
  </si>
  <si>
    <t xml:space="preserve"> Эксплуатационные расходы на содержание и обслуживание общего имущества</t>
  </si>
  <si>
    <t>2.3.1.</t>
  </si>
  <si>
    <t>2.3.2.</t>
  </si>
  <si>
    <t>2.3.3.</t>
  </si>
  <si>
    <t>2.3.4.</t>
  </si>
  <si>
    <t>2.3.5.</t>
  </si>
  <si>
    <t>ремонт автоматических ворот гаража</t>
  </si>
  <si>
    <t>2.4.</t>
  </si>
  <si>
    <t>Итого затраты на управление и содержание общего имущества (стр. 2.2.+стр. 2.3.)</t>
  </si>
  <si>
    <t>2.5.</t>
  </si>
  <si>
    <t>Итого затраты на управление и содержание общего имущества за вычетом  дополнительных поступлений  (стр. 2.4. - стр. 1.4. - стр.1.6.)</t>
  </si>
  <si>
    <t>2.6.</t>
  </si>
  <si>
    <t xml:space="preserve"> Допзатраты на содержание общего имущества жилых помещений и офисов (стр. 2.7. + стр. 2.8. + стр. 2.9.)</t>
  </si>
  <si>
    <t>2.7.</t>
  </si>
  <si>
    <t>обслуживание системы телеметрии (ООО "Интерэнерго")</t>
  </si>
  <si>
    <t>обслуживание лифтовой связи (ООО "Средураллифт")</t>
  </si>
  <si>
    <t>техобслуживание лифтов (ООО "Лифтмонтаж-1")</t>
  </si>
  <si>
    <t>санитарная обработка подвалов (ОАО "Екатеринбургская дезинфекционная станция")</t>
  </si>
  <si>
    <t>очистка кровли от мусора</t>
  </si>
  <si>
    <t>паспортное обслуживание (МУ УЖКХ Верх-Исетского района)</t>
  </si>
  <si>
    <t>2.8.</t>
  </si>
  <si>
    <t>Благоустройство</t>
  </si>
  <si>
    <t>прокос газонов</t>
  </si>
  <si>
    <t>вывоз твердых бытовых отходов (ЕМУП "Спецавтобаза")</t>
  </si>
  <si>
    <t>завоз песка, земли, отсева</t>
  </si>
  <si>
    <t>2.9.</t>
  </si>
  <si>
    <t>2.10.</t>
  </si>
  <si>
    <t>Капитальный ремонт и реконструкция</t>
  </si>
  <si>
    <t>2.11.</t>
  </si>
  <si>
    <t>Фонд капитального ремонта (стр. 1.5. - стр. 2.10.)</t>
  </si>
  <si>
    <t>2.12.</t>
  </si>
  <si>
    <t>Резервный фонд (стр. 1.8. - сумма (стр. 2.1. - стр. 2.11.))</t>
  </si>
  <si>
    <t>2.13.</t>
  </si>
  <si>
    <t>Оплата коммунальных услуг</t>
  </si>
  <si>
    <t>2.14.</t>
  </si>
  <si>
    <t>ИТОГО РАСХОДОВ:</t>
  </si>
  <si>
    <t>промывка теплообменников системы отопления дома и гаража</t>
  </si>
  <si>
    <t>Текущие ремонты общего имущества дома устранение поломок (двери, окна, доводчики, ручки, светильники и т.д.)</t>
  </si>
  <si>
    <t>Прочие поступления</t>
  </si>
  <si>
    <t>Итого</t>
  </si>
  <si>
    <t>Телесеть-Сервис</t>
  </si>
  <si>
    <t>Задолженность на 01.01.2011</t>
  </si>
  <si>
    <t>Телесеть-Сервис за 2009</t>
  </si>
  <si>
    <t>ООО "Компания Эрланг"</t>
  </si>
  <si>
    <t>ТСЖ "ТАТИЩЕВА,92" на 2010 год.</t>
  </si>
  <si>
    <t>Дебиторская задолженность на 01.01.2010 г.</t>
  </si>
  <si>
    <t>Кредиторская задолженность на 01.01.10 г.</t>
  </si>
  <si>
    <t>Почтовые расходы</t>
  </si>
  <si>
    <t>Канцелярские расходы, расходные материалы для оргтехники (картриджи, дискеты)</t>
  </si>
  <si>
    <t>2.2.5.</t>
  </si>
  <si>
    <t>2.2.6.</t>
  </si>
  <si>
    <t>Госпошлина по искам, нотариус, юридические расходы</t>
  </si>
  <si>
    <t>2.2.7.</t>
  </si>
  <si>
    <t>техническое обслуживание приборов учета тепловой энергии (ООО "Интерэнерго")</t>
  </si>
  <si>
    <t>замена контрольно-измерительных приборов, датчиков</t>
  </si>
  <si>
    <t>устройство окон естественной вентиляции в помещениях ИТП</t>
  </si>
  <si>
    <t>поверка общедомовых приборов учета ТЭКОН, датчиков</t>
  </si>
  <si>
    <t>2.3.6.</t>
  </si>
  <si>
    <t>приобретение электрозапчастей и ламп</t>
  </si>
  <si>
    <t>2.3.7.</t>
  </si>
  <si>
    <t>промывка теплообменников, систем ГВС и отопления</t>
  </si>
  <si>
    <t>2.3.8.</t>
  </si>
  <si>
    <t>2.3.9.</t>
  </si>
  <si>
    <t>2.3.10.</t>
  </si>
  <si>
    <t>непредвиденные расходы на ремонты, замену оборудования</t>
  </si>
  <si>
    <t xml:space="preserve"> Эксплуатационные расходы на содержание и обслуживание общего имущества, в том числе:</t>
  </si>
  <si>
    <t>2.7.1.</t>
  </si>
  <si>
    <t>фонд оплаты труда работников+ЕСН+РК (дворник, уборщицы)</t>
  </si>
  <si>
    <t>2.7.2.</t>
  </si>
  <si>
    <t>приобретение рукавов и стволов для пожарных гидрантов (предписание МЧС)</t>
  </si>
  <si>
    <t>2.7.3.</t>
  </si>
  <si>
    <t>ремонт помещения мастерской ТСЖ у 1-го подъезда</t>
  </si>
  <si>
    <t>2.7.4.</t>
  </si>
  <si>
    <t>приобретение запчастей, комплектующих, инструмента, хозинвентаря</t>
  </si>
  <si>
    <t>2.7.5.</t>
  </si>
  <si>
    <t>2.7.6.</t>
  </si>
  <si>
    <t>2.7.7.</t>
  </si>
  <si>
    <t>обслуживание системы противодымной защиты</t>
  </si>
  <si>
    <t>2.7.8.</t>
  </si>
  <si>
    <t>восстановление системы пожарной сигнализации и противодымной защиты</t>
  </si>
  <si>
    <t>2.7.9.</t>
  </si>
  <si>
    <t>2.7.10.</t>
  </si>
  <si>
    <t>2.7.11.</t>
  </si>
  <si>
    <t>техосвидетельствование лифтов (Союзлифтмонтаж)</t>
  </si>
  <si>
    <t>2.7.12.</t>
  </si>
  <si>
    <t>страхование лифтов (ООО "СК "Цюрих Ритейл")</t>
  </si>
  <si>
    <t>2.7.13.</t>
  </si>
  <si>
    <t>2.7.14.</t>
  </si>
  <si>
    <t>2.7.15.</t>
  </si>
  <si>
    <t>2.7.16.</t>
  </si>
  <si>
    <t>обслуживание и ремонт домофонов (ООО "СВД-Инжиниринг")</t>
  </si>
  <si>
    <t>2.7.17.</t>
  </si>
  <si>
    <t>2.8.1.</t>
  </si>
  <si>
    <t>2.8.2.</t>
  </si>
  <si>
    <t>ремонт, покраска детской площадки</t>
  </si>
  <si>
    <t>2.8.3.</t>
  </si>
  <si>
    <t>озеленение двора (высадка кустарников)</t>
  </si>
  <si>
    <t>2.8.4.</t>
  </si>
  <si>
    <t>уборка механизированных способом и вывоз снега</t>
  </si>
  <si>
    <t>2.8.5.</t>
  </si>
  <si>
    <t>2.9.1.</t>
  </si>
  <si>
    <t>устранение поломок (двери, окна, доводчики, ручки, светильники и т.д.)</t>
  </si>
  <si>
    <t>2.10.1.</t>
  </si>
  <si>
    <t>внесение изменений в проект общедомовых узлов учета теплоэнергии по предписанию ТЭЦ ОАО Уралметпром</t>
  </si>
  <si>
    <t>2.10.2.</t>
  </si>
  <si>
    <t>реконструкция общедомовых узлов учета теплоэнергии согласно нового проекта</t>
  </si>
  <si>
    <t>2.10.3.</t>
  </si>
  <si>
    <t>выполнение проекта реконструкции подвального помещения в 7-м подъезде под служебное помещение ТСЖ</t>
  </si>
  <si>
    <t>2.10.4.</t>
  </si>
  <si>
    <t>установка деревянной горки на детской площадке</t>
  </si>
  <si>
    <t>2.10.5.</t>
  </si>
  <si>
    <t>установка энергосберегающих светильников с датчиками в МОП</t>
  </si>
  <si>
    <t>2.10.6.</t>
  </si>
  <si>
    <t>ПМК-7 (транспортные услуги и спецтехника)</t>
  </si>
  <si>
    <t>ООО ТК "Мегаполис" (хозтовары)</t>
  </si>
  <si>
    <t>ТСЖ "Наш Дом" (аренда диспетчерской)</t>
  </si>
  <si>
    <t>ЗАО "АКВАТЕРМ" (обследование)</t>
  </si>
  <si>
    <t>ИП Чигвинцев С.А. уборка снега техникой</t>
  </si>
  <si>
    <t>ООО "ПРОМАЛЬПИНДУСТРИЯ" (Очистка площади кровли от снега)</t>
  </si>
  <si>
    <t>ООО "СтройАрсенал" (инструмент)</t>
  </si>
  <si>
    <t>пожарное оборудование</t>
  </si>
  <si>
    <t>ООО "СТЭМ"</t>
  </si>
  <si>
    <t>МТС (сотовая связь)</t>
  </si>
  <si>
    <t>госпошлина</t>
  </si>
  <si>
    <t>Промывка теплообменника ГВС 1,2 очереди</t>
  </si>
  <si>
    <t>ИП Лугинин Н.Е. (лакокрасочные материалы,кисти,щетки)</t>
  </si>
  <si>
    <t>ООО "Горшкоф-Офис" (канц. товары)</t>
  </si>
  <si>
    <t>ООО "Ариос" (световой короб и его монтаж)</t>
  </si>
  <si>
    <t>ООО "Екатеринбургский асфальтовый завод" (Асфальтобетонная смесь холодная ТИП "ВХ")</t>
  </si>
  <si>
    <t xml:space="preserve">ООО "СВД-Инжиниринг" </t>
  </si>
  <si>
    <t>ремонт и обслуживание домофонов</t>
  </si>
  <si>
    <t>монтажные работы</t>
  </si>
  <si>
    <t>строительные материалы</t>
  </si>
  <si>
    <t>2.3.5. Поверка общедомовых приборов учета ТЭКОН, датчиков</t>
  </si>
  <si>
    <t>инструмент</t>
  </si>
  <si>
    <t>стройматериалы для ремонта помещения мастерской ТСЖ у 1-го подъезда</t>
  </si>
  <si>
    <t>ООО "Амеркон" (Асфальтобетонная смесь холодная ТИП "ВХ")</t>
  </si>
  <si>
    <t>ООО "Сотня" (шкаф архивный)</t>
  </si>
  <si>
    <t>ООО "Компания "Экосистема" (Вывоз ТБО)</t>
  </si>
  <si>
    <r>
      <t xml:space="preserve">2.7.4. приобретение запчастей, комплектующих, инструмента, хозинвентаря </t>
    </r>
    <r>
      <rPr>
        <b/>
        <sz val="10"/>
        <rFont val="Arial"/>
        <family val="2"/>
      </rPr>
      <t>(инструмент и МБП)</t>
    </r>
  </si>
  <si>
    <r>
      <t>2.2.4. канцелярские расходы, расходные материалы для оргтехники (картриджи, дискеты)</t>
    </r>
    <r>
      <rPr>
        <b/>
        <sz val="10"/>
        <rFont val="Arial"/>
        <family val="2"/>
      </rPr>
      <t>(оргтехника (ПК, МФУ, картриджи)</t>
    </r>
  </si>
  <si>
    <t>замена труб ГВС (вне плана)</t>
  </si>
  <si>
    <r>
      <t>2.7.4. приобретение запчастей, комплектующих, инструмента, хозинвентаря</t>
    </r>
    <r>
      <rPr>
        <b/>
        <sz val="10"/>
        <rFont val="Arial"/>
        <family val="2"/>
      </rPr>
      <t xml:space="preserve"> (хозтовары)</t>
    </r>
  </si>
  <si>
    <r>
      <t>2.9.1. устранение поломок (двери, окна, доводчики, ручки, светильники и т.д.)</t>
    </r>
    <r>
      <rPr>
        <b/>
        <sz val="10"/>
        <rFont val="Arial"/>
        <family val="2"/>
      </rPr>
      <t>(войлок, защелки, шпингалеты)</t>
    </r>
  </si>
  <si>
    <t>2.3.6. приобретение электрозапчастей и ламп</t>
  </si>
  <si>
    <r>
      <t>2.2.4. канцелярские расходы, расходные материалы для оргтехники (картриджи, дискеты)</t>
    </r>
    <r>
      <rPr>
        <b/>
        <sz val="10"/>
        <rFont val="Arial"/>
        <family val="2"/>
      </rPr>
      <t>(канцелярские расходы)</t>
    </r>
  </si>
  <si>
    <t>2.2.3. почтовые расходы</t>
  </si>
  <si>
    <r>
      <t>2.3.10. непредвиденные расходы на ремонты, замену оборудования (</t>
    </r>
    <r>
      <rPr>
        <b/>
        <sz val="10"/>
        <rFont val="Arial"/>
        <family val="2"/>
      </rPr>
      <t>клей, затирка, керамогранит)</t>
    </r>
  </si>
  <si>
    <t>2.2.6. госпошлина по искам, нотариус, юридические расходы</t>
  </si>
  <si>
    <t>2.8.3. озеленение двора (высадка кустарников)</t>
  </si>
  <si>
    <t>2.8.5. завоз песка, земли, отсева</t>
  </si>
  <si>
    <t>2.7.3. ремонт помещения мастерской ТСЖ у 1-го подъезда</t>
  </si>
  <si>
    <t>2.8.2. ремонт, покраска детской площадки</t>
  </si>
  <si>
    <t>2.8.1. прокос газонов (леска)</t>
  </si>
  <si>
    <t>2.10.2. реконструкция общедомовых узлов учета теплоэнергии согласно нового проекта</t>
  </si>
  <si>
    <t xml:space="preserve">2.10.6. установка заборов на тротуаре на въезде во двор с ул. Сварщиков, на газоне у аптеки  </t>
  </si>
  <si>
    <t>диспетчера</t>
  </si>
  <si>
    <t>Поздышев В.Ф</t>
  </si>
  <si>
    <t>изготовление и монтаж крышки вентиляционной шахты чердака 5-го подъезда</t>
  </si>
  <si>
    <t>Колосов В.П.</t>
  </si>
  <si>
    <t>сварочные работы, установка запорной арматурына 8-ми стояках подъездов, монтаж соединительных трубопроводов для циркуляции теплоносителя по малому кругу</t>
  </si>
  <si>
    <t>програмирование таймера автоматических ворот гаража на автоматическое закрывание</t>
  </si>
  <si>
    <t>Речкин А.П.</t>
  </si>
  <si>
    <t>Трещева О.А.</t>
  </si>
  <si>
    <t>дворник, уборщица (во время отпуска штатного сотрудника)</t>
  </si>
  <si>
    <t>управляющий</t>
  </si>
  <si>
    <t xml:space="preserve">Подкорытов В.А. </t>
  </si>
  <si>
    <t>сварочные работы по ремонту металлических входных подъездных дверей и малых архитектурных форм детской площадки</t>
  </si>
  <si>
    <t>замена пружины автоматических ворот гаража(включая стоимость материалов и запчастей)</t>
  </si>
  <si>
    <t>сварочные и монтажные работы по ремонту трубопроводов системы отопления и пожаротушения гаража</t>
  </si>
  <si>
    <t>Истомина Е.Г.</t>
  </si>
  <si>
    <t>укладка холодного асфальта объемом 4,4 т на отмостку по периметру дома</t>
  </si>
  <si>
    <t>Двойнишников А.Г.</t>
  </si>
  <si>
    <t>ремонтно-строительные и отделочные работы в помещении мастерской ТСЖ у 1-го подъезда</t>
  </si>
  <si>
    <t>замена трубопроводов ГВС Ду32 в подвале 3-7 подъездов, замена запорной арматуры, монтаж циркуляционного насоса, сварочные работы</t>
  </si>
  <si>
    <t>окраска элементов детской площадки, заборов, прокос газонов</t>
  </si>
  <si>
    <t>замена рейки автоматических ворот гаража (включая стоимость материалов и запчастей)</t>
  </si>
  <si>
    <t>гидропневматическая промывка системы теплопотребления подземного гаража</t>
  </si>
  <si>
    <t>сварочные работы по реконструкции узла коммерческого учета тепловой энергии ИТП 3-7 подъезд, замена расходомеров Метран</t>
  </si>
  <si>
    <t>откапывание 100 саженцев кустарника и 5 саженцев деревьев в питомнике, подготовка ям, высадка 105 саженцев на газонах детской площадки, перенос 4,5 тонн чернозема</t>
  </si>
  <si>
    <t>Катаев А.В.</t>
  </si>
  <si>
    <t>сварочные работы по ликвидации аварии на магистрали ГВС в районе 5-го подъезда, приваривание сгонов, установка спускных кранов на стояке ГВС</t>
  </si>
  <si>
    <t>Ленский Д.В.</t>
  </si>
  <si>
    <t>замена общедомовых электросчетчиков 15 шт.,трансформаторов тока 18 шт.</t>
  </si>
  <si>
    <t>Савинский В.В.</t>
  </si>
  <si>
    <t>дополнительная теплоизоляция труб теплоснабжения в ИТП № 07,10</t>
  </si>
  <si>
    <t>Выполнение работ по договору № 26-ВПУ от 27.04.2010</t>
  </si>
  <si>
    <t>ООО "Трубопроводная компания "ВАГАНТ" (сантехматериалы)</t>
  </si>
  <si>
    <t>ООО "Предприятие "ТАЭН"</t>
  </si>
  <si>
    <t xml:space="preserve">Промывка теплообменника </t>
  </si>
  <si>
    <t>Восстановительные работы на автоматической системе противодымной защиты (АСПДЗ) по адресу: ул. Татищева,92 подъезд 2 г.Екатеринбург и ввод системы в режим технического обслуживания по договору подряда № 172/1 от 09.07.2010</t>
  </si>
  <si>
    <t xml:space="preserve">Обновление программы "Расчет кварплаты " 212 л/сч </t>
  </si>
  <si>
    <t>ООО "Технезис" (Вазон городской, 400х400 мм - 7 шт)</t>
  </si>
  <si>
    <t>ЕМУП БЮРО ТЕХНИЧЕСКОЙ ИНВЕНТАРИЗАЦИИ (Копия технического паспорта здания)</t>
  </si>
  <si>
    <t>Техпроверка Т17 № 3450</t>
  </si>
  <si>
    <t xml:space="preserve">ООО "ИВП Крейт" </t>
  </si>
  <si>
    <t>ООО "УЦ "Промаудит"</t>
  </si>
  <si>
    <t>Проведение предаттестационной подготовки и организации аттестации по: Промышленной безопасности Двойнишников</t>
  </si>
  <si>
    <t>Проведение предаттестационной подготовки и организации аттестации по: Подъемным сооружениям Двойнишников</t>
  </si>
  <si>
    <t>компенсация за авто</t>
  </si>
  <si>
    <t>госпошина</t>
  </si>
  <si>
    <t>Договора поручения Кольчурина О.Г.</t>
  </si>
  <si>
    <t xml:space="preserve">ТСЖ "Прибрежный" </t>
  </si>
  <si>
    <t>на подотчет</t>
  </si>
  <si>
    <t>2.2.4. канцелярские расходы, расходные материалы для оргтехники (картриджи, дискеты)(канцелярские расходы)</t>
  </si>
  <si>
    <t>2.7.4. приобретение запчастей, комплектующих, инструмента, хозинвентаря (хозтовары)</t>
  </si>
  <si>
    <t>2.7.4. приобретение запчастей, комплектующих, инструмента, хозинвентаря (инструмент и МБП)</t>
  </si>
  <si>
    <t>2.3.10. непредвиденные расходы на ремонты, замену оборудования (клей, затирка, керамогранит)</t>
  </si>
  <si>
    <t>2.9.1. устранение поломок (двери, окна, доводчики, ручки, светильники и т.д.)(войлок, защелки, шпингалеты)</t>
  </si>
  <si>
    <t>2.2.4. канцелярские расходы, расходные материалы для оргтехники (картриджи, дискеты)(оргтехника (ПК, МФУ, картриджи)</t>
  </si>
  <si>
    <t>2.7.4. приобретение запчастей, комплектующих, инструмента, хозинвентаря(сантехматериалы)</t>
  </si>
  <si>
    <t>2.7.5. непредвиденные расходы (ликвидация аварий и т.д.)(сантехматериалы)</t>
  </si>
  <si>
    <t>Музафаров Р.Ф.</t>
  </si>
  <si>
    <t>сварочные работы, установка запорной арматуры на 8-ми стояках подъездов, монтаж соединительных трубопроводов для циркуляции теплоносителя по малому кругу</t>
  </si>
  <si>
    <t>сварочные работы по замене запорной задвижки Балломакс Ду50, ремонт стояка ГВС в кв.158</t>
  </si>
  <si>
    <t>замена пружины автоматических ворот гаража (включая стоимость материалов и запчастей)</t>
  </si>
  <si>
    <t>уборка мусора на кровле</t>
  </si>
  <si>
    <t>замена общедомовых электросчетчиков 15 шт., трансформаторов тока 18 шт.</t>
  </si>
  <si>
    <t>По дебетовым оборотам в интернет-банке</t>
  </si>
  <si>
    <t>расхождение</t>
  </si>
  <si>
    <t>Итого:</t>
  </si>
  <si>
    <t>По кредитовым оборотам банка</t>
  </si>
  <si>
    <t>Замена 3-х тяговых анатов лифта г/п 400кг</t>
  </si>
  <si>
    <t>ООО "Техпромсервис" (вывоз снега)</t>
  </si>
  <si>
    <t>Замена 3-х тяговых канатов лифта г/п 400кг</t>
  </si>
  <si>
    <t>Прочие доходы (невыясненные платежи)</t>
  </si>
  <si>
    <t>Комиссия банка</t>
  </si>
  <si>
    <t>Возврат госпошлины</t>
  </si>
  <si>
    <t>Техническое обслуживание автоматической системе противодымной защиты (АСПДЗ) по адресу: ул. Татищева,92 подъезд 2</t>
  </si>
  <si>
    <t>расходомеры Метран 2 шт.</t>
  </si>
  <si>
    <t>ООО "Торговая компания "Светон" (приобретение общедомовых электросчетчиков и трансформаторов)</t>
  </si>
  <si>
    <t>Задолженность на 01.01.2010</t>
  </si>
  <si>
    <t>устройство вентиляционных окон в ИТП договор №23 от 29.11.2010</t>
  </si>
  <si>
    <t>Выполнены работы  по ремонту систем пожарной сигнализации (ПС) подземного гаража по ул. Татищева 92 в г.Екатеринбурге и ввод систем в режим технического обслуживания</t>
  </si>
  <si>
    <t>замена замка входной двери помещения диспетчерской</t>
  </si>
  <si>
    <t>обследование систем противодымной защиты</t>
  </si>
  <si>
    <t>Ревизия и замена контакторов АВР</t>
  </si>
  <si>
    <r>
      <t>2.7.5. непредвиденные расходы (ликвидация аварий и т.д.)(сантехматериалы)</t>
    </r>
  </si>
  <si>
    <t>Выставлено счетов поставщиками, произведено расходов ТСЖ</t>
  </si>
  <si>
    <t>ТСЖ "Прибрежный" (долги за 2009 г.)</t>
  </si>
  <si>
    <t xml:space="preserve"> договор №1/Тат92 от 29.12.08 (теплоэнергия)</t>
  </si>
  <si>
    <t>на подотчете</t>
  </si>
  <si>
    <t>Выставлено, руб.</t>
  </si>
  <si>
    <t>Оплачено, руб.</t>
  </si>
  <si>
    <t>Долги перед ТСЖ за 2010 год на 01.01.2011, руб.</t>
  </si>
  <si>
    <t>Семинары, обучение, обновление программного обеспечения</t>
  </si>
  <si>
    <t>План 2010, руб.</t>
  </si>
  <si>
    <t>Факт  2010, руб.</t>
  </si>
  <si>
    <t>Отклонения, руб.</t>
  </si>
  <si>
    <t>Прочие поступления (пени, возврат госпошлины и пр.)</t>
  </si>
  <si>
    <t>Израсходовано по факту за 2010 год, руб.</t>
  </si>
  <si>
    <t>Перерасход ("-" экономия), руб.</t>
  </si>
  <si>
    <t>расчетно-кассовое обслуживание в банке (Екатеринбургский филиал ОАО "Русь-Банк"), ЕРЦ</t>
  </si>
  <si>
    <t>Фонд оплаты труда АУП+ЕСН+РК</t>
  </si>
  <si>
    <t>компенсация транспортных расходов управляющего</t>
  </si>
  <si>
    <t>мобильная связь управляющего</t>
  </si>
  <si>
    <t>оформление ЕМУП БТИ техпаспорта на дом</t>
  </si>
  <si>
    <t>аренда зала для проведения общего собрания</t>
  </si>
  <si>
    <t>ведение бухучета + юридическое и документационное сопровождение + технический надзор за эксплуатацией дома по договору с обслуж организацией ООО "РЭП "Горкоммунсервис" (фонд оплаты труда технического персонала+ЕСН+РК службы эксплуатации)</t>
  </si>
  <si>
    <t>обслуживание системы ОПС, дымоудаления дома</t>
  </si>
  <si>
    <t>обслуживание системы сигнализации превышения СО (гараж)</t>
  </si>
  <si>
    <t>2.3.11.</t>
  </si>
  <si>
    <t>обслуживание автоматики ОПС и пожаротушения (гараж)</t>
  </si>
  <si>
    <t>2.3.12.</t>
  </si>
  <si>
    <t>изготовление козырьков над входами в гараж и мастерскую</t>
  </si>
  <si>
    <t>2.3.13.</t>
  </si>
  <si>
    <t>восстановление автоматики системы сигнализации СО и пожаротушения, вентиляции (гараж)</t>
  </si>
  <si>
    <t>2.3.14.</t>
  </si>
  <si>
    <t>механизированная промывка пола гаража (2 раза в год)</t>
  </si>
  <si>
    <t>приобретение насоса для насосной станции секции 7а</t>
  </si>
  <si>
    <t>приобретение архивных металлических шкафов</t>
  </si>
  <si>
    <t>непредвиденные расходы (ликвидация аварий и т.д.), в том числе</t>
  </si>
  <si>
    <t>замена тяговых канатов лифта 3 шт.</t>
  </si>
  <si>
    <t>приобретение холодного асфальта</t>
  </si>
  <si>
    <t>укладка холодного асфальта на фундамент, неровности на дороге</t>
  </si>
  <si>
    <t>клей, затирка, керамогранит</t>
  </si>
  <si>
    <t>прочие стройматериалы</t>
  </si>
  <si>
    <t>установка заборов на тротуаре на въезде во двор с ул. Сварщиков, на газоне у аптеки   (вазоны во дворе)</t>
  </si>
  <si>
    <t>Экономия 2009 года</t>
  </si>
  <si>
    <t>замена доводчика входной двери подъезда № 4</t>
  </si>
  <si>
    <t>транспортные расходы по завозу земли</t>
  </si>
  <si>
    <t>замена напольной керамической плитки в подъездах № 7</t>
  </si>
  <si>
    <t>ремонт напольной керамической плитки в подъезде № 7</t>
  </si>
  <si>
    <t>уборка снега с кровли (Промальпиндустрия)</t>
  </si>
  <si>
    <t>изготовление и установка светового короба с адресом дома</t>
  </si>
  <si>
    <t>ИТОГО РАСХОДОВ БЕЗ КАПРЕМОНТА:</t>
  </si>
  <si>
    <t>ИТОГО ДОХОДОВ БЕЗ КАПРЕМОНТА:</t>
  </si>
  <si>
    <t>САЛЬДО ДОХОДОВ-РАСХОДОВ (Экономия)</t>
  </si>
  <si>
    <t xml:space="preserve"> дог. №1/Тат92 от 29.12.08 (теплоэнергия)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</si>
</sst>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00"/>
    <numFmt numFmtId="168" formatCode="0.000%"/>
    <numFmt numFmtId="169" formatCode="#,##0.0000"/>
  </numFmts>
  <fonts count="44"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Tahoma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MS Shell Dlg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7" fillId="0" borderId="0">
      <alignment/>
      <protection/>
    </xf>
    <xf numFmtId="0" fontId="37" fillId="0" borderId="0">
      <alignment horizontal="left"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4" fontId="8" fillId="0" borderId="10" xfId="53" applyNumberFormat="1" applyFont="1" applyBorder="1">
      <alignment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left" wrapText="1"/>
      <protection/>
    </xf>
    <xf numFmtId="165" fontId="8" fillId="0" borderId="10" xfId="53" applyNumberFormat="1" applyFont="1" applyBorder="1" applyAlignment="1">
      <alignment horizontal="center" wrapText="1"/>
      <protection/>
    </xf>
    <xf numFmtId="165" fontId="8" fillId="0" borderId="0" xfId="53" applyNumberFormat="1" applyFont="1" applyBorder="1" applyAlignment="1">
      <alignment wrapText="1"/>
      <protection/>
    </xf>
    <xf numFmtId="165" fontId="8" fillId="0" borderId="10" xfId="53" applyNumberFormat="1" applyFont="1" applyBorder="1" applyAlignment="1">
      <alignment horizontal="center"/>
      <protection/>
    </xf>
    <xf numFmtId="166" fontId="8" fillId="0" borderId="0" xfId="60" applyNumberFormat="1" applyFont="1" applyBorder="1" applyAlignment="1">
      <alignment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Fill="1" applyBorder="1" applyAlignment="1">
      <alignment horizontal="right" wrapText="1"/>
      <protection/>
    </xf>
    <xf numFmtId="165" fontId="8" fillId="0" borderId="0" xfId="53" applyNumberFormat="1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3" fontId="8" fillId="0" borderId="10" xfId="53" applyNumberFormat="1" applyFont="1" applyBorder="1" applyAlignment="1">
      <alignment horizontal="center"/>
      <protection/>
    </xf>
    <xf numFmtId="4" fontId="8" fillId="0" borderId="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horizontal="left" wrapText="1"/>
      <protection/>
    </xf>
    <xf numFmtId="0" fontId="9" fillId="0" borderId="10" xfId="53" applyFont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9" fillId="0" borderId="10" xfId="53" applyFont="1" applyBorder="1" applyAlignment="1">
      <alignment wrapText="1"/>
      <protection/>
    </xf>
    <xf numFmtId="3" fontId="9" fillId="0" borderId="10" xfId="53" applyNumberFormat="1" applyFont="1" applyBorder="1">
      <alignment/>
      <protection/>
    </xf>
    <xf numFmtId="3" fontId="8" fillId="0" borderId="10" xfId="53" applyNumberFormat="1" applyFont="1" applyBorder="1">
      <alignment/>
      <protection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horizontal="right" wrapText="1"/>
      <protection/>
    </xf>
    <xf numFmtId="0" fontId="9" fillId="0" borderId="10" xfId="53" applyFont="1" applyFill="1" applyBorder="1" applyAlignment="1">
      <alignment horizontal="right" wrapText="1"/>
      <protection/>
    </xf>
    <xf numFmtId="4" fontId="8" fillId="0" borderId="0" xfId="53" applyNumberFormat="1" applyFont="1">
      <alignment/>
      <protection/>
    </xf>
    <xf numFmtId="3" fontId="8" fillId="0" borderId="0" xfId="53" applyNumberFormat="1" applyFont="1">
      <alignment/>
      <protection/>
    </xf>
    <xf numFmtId="0" fontId="9" fillId="0" borderId="10" xfId="53" applyFont="1" applyBorder="1" applyAlignment="1">
      <alignment horizontal="left"/>
      <protection/>
    </xf>
    <xf numFmtId="4" fontId="9" fillId="0" borderId="10" xfId="53" applyNumberFormat="1" applyFont="1" applyBorder="1">
      <alignment/>
      <protection/>
    </xf>
    <xf numFmtId="0" fontId="8" fillId="0" borderId="10" xfId="53" applyFont="1" applyBorder="1" applyAlignment="1">
      <alignment horizontal="left"/>
      <protection/>
    </xf>
    <xf numFmtId="4" fontId="9" fillId="0" borderId="10" xfId="53" applyNumberFormat="1" applyFont="1" applyBorder="1" applyAlignment="1">
      <alignment horizontal="right"/>
      <protection/>
    </xf>
    <xf numFmtId="4" fontId="3" fillId="24" borderId="10" xfId="0" applyNumberFormat="1" applyFont="1" applyFill="1" applyBorder="1" applyAlignment="1">
      <alignment/>
    </xf>
    <xf numFmtId="165" fontId="8" fillId="0" borderId="10" xfId="53" applyNumberFormat="1" applyFont="1" applyBorder="1" applyAlignment="1">
      <alignment wrapText="1"/>
      <protection/>
    </xf>
    <xf numFmtId="4" fontId="8" fillId="0" borderId="10" xfId="53" applyNumberFormat="1" applyFont="1" applyBorder="1" applyAlignment="1">
      <alignment horizontal="center" wrapText="1"/>
      <protection/>
    </xf>
    <xf numFmtId="4" fontId="0" fillId="0" borderId="0" xfId="0" applyNumberFormat="1" applyAlignment="1">
      <alignment/>
    </xf>
    <xf numFmtId="4" fontId="9" fillId="0" borderId="10" xfId="53" applyNumberFormat="1" applyFont="1" applyFill="1" applyBorder="1">
      <alignment/>
      <protection/>
    </xf>
    <xf numFmtId="4" fontId="8" fillId="0" borderId="10" xfId="53" applyNumberFormat="1" applyFont="1" applyFill="1" applyBorder="1">
      <alignment/>
      <protection/>
    </xf>
    <xf numFmtId="4" fontId="9" fillId="0" borderId="10" xfId="53" applyNumberFormat="1" applyFont="1" applyFill="1" applyBorder="1" applyAlignment="1">
      <alignment wrapText="1"/>
      <protection/>
    </xf>
    <xf numFmtId="4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" fontId="5" fillId="0" borderId="10" xfId="0" applyNumberFormat="1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4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" fontId="12" fillId="0" borderId="10" xfId="0" applyNumberFormat="1" applyFont="1" applyFill="1" applyBorder="1" applyAlignment="1">
      <alignment/>
    </xf>
    <xf numFmtId="4" fontId="12" fillId="25" borderId="10" xfId="0" applyNumberFormat="1" applyFont="1" applyFill="1" applyBorder="1" applyAlignment="1">
      <alignment/>
    </xf>
    <xf numFmtId="10" fontId="5" fillId="0" borderId="0" xfId="59" applyNumberFormat="1" applyFont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165" fontId="8" fillId="0" borderId="0" xfId="60" applyNumberFormat="1" applyFont="1" applyBorder="1" applyAlignment="1">
      <alignment horizontal="center"/>
    </xf>
    <xf numFmtId="10" fontId="8" fillId="0" borderId="0" xfId="59" applyNumberFormat="1" applyFont="1" applyAlignment="1">
      <alignment/>
    </xf>
    <xf numFmtId="166" fontId="0" fillId="0" borderId="0" xfId="59" applyNumberFormat="1" applyFont="1" applyAlignment="1">
      <alignment/>
    </xf>
    <xf numFmtId="2" fontId="3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14" fontId="8" fillId="0" borderId="10" xfId="53" applyNumberFormat="1" applyFont="1" applyBorder="1" applyAlignment="1">
      <alignment horizontal="left"/>
      <protection/>
    </xf>
    <xf numFmtId="0" fontId="5" fillId="0" borderId="10" xfId="0" applyFont="1" applyBorder="1" applyAlignment="1">
      <alignment wrapText="1" shrinkToFit="1"/>
    </xf>
    <xf numFmtId="0" fontId="12" fillId="0" borderId="10" xfId="0" applyFont="1" applyBorder="1" applyAlignment="1">
      <alignment wrapText="1" shrinkToFit="1"/>
    </xf>
    <xf numFmtId="0" fontId="0" fillId="0" borderId="10" xfId="0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" fontId="16" fillId="0" borderId="0" xfId="0" applyNumberFormat="1" applyFont="1" applyAlignment="1">
      <alignment/>
    </xf>
    <xf numFmtId="10" fontId="17" fillId="0" borderId="0" xfId="59" applyNumberFormat="1" applyFont="1" applyAlignment="1">
      <alignment/>
    </xf>
    <xf numFmtId="0" fontId="17" fillId="0" borderId="0" xfId="0" applyFont="1" applyAlignment="1">
      <alignment/>
    </xf>
    <xf numFmtId="4" fontId="12" fillId="0" borderId="15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4" fontId="5" fillId="2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38" fillId="25" borderId="8" xfId="54" applyFont="1" applyFill="1" applyBorder="1" applyAlignment="1">
      <alignment horizontal="left" vertical="top"/>
      <protection/>
    </xf>
    <xf numFmtId="4" fontId="17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/>
    </xf>
    <xf numFmtId="166" fontId="0" fillId="0" borderId="0" xfId="59" applyNumberFormat="1" applyFont="1" applyBorder="1" applyAlignment="1">
      <alignment/>
    </xf>
    <xf numFmtId="4" fontId="8" fillId="24" borderId="10" xfId="53" applyNumberFormat="1" applyFont="1" applyFill="1" applyBorder="1">
      <alignment/>
      <protection/>
    </xf>
    <xf numFmtId="165" fontId="8" fillId="0" borderId="0" xfId="53" applyNumberFormat="1" applyFont="1" applyBorder="1" applyAlignment="1">
      <alignment horizontal="center" wrapText="1"/>
      <protection/>
    </xf>
    <xf numFmtId="165" fontId="8" fillId="0" borderId="11" xfId="53" applyNumberFormat="1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wrapText="1"/>
      <protection/>
    </xf>
    <xf numFmtId="3" fontId="39" fillId="0" borderId="10" xfId="53" applyNumberFormat="1" applyFont="1" applyBorder="1">
      <alignment/>
      <protection/>
    </xf>
    <xf numFmtId="0" fontId="39" fillId="0" borderId="10" xfId="53" applyFont="1" applyFill="1" applyBorder="1" applyAlignment="1">
      <alignment wrapText="1"/>
      <protection/>
    </xf>
    <xf numFmtId="0" fontId="40" fillId="0" borderId="10" xfId="0" applyFont="1" applyFill="1" applyBorder="1" applyAlignment="1">
      <alignment horizontal="right" wrapText="1"/>
    </xf>
    <xf numFmtId="3" fontId="41" fillId="0" borderId="10" xfId="53" applyNumberFormat="1" applyFont="1" applyBorder="1">
      <alignment/>
      <protection/>
    </xf>
    <xf numFmtId="0" fontId="41" fillId="0" borderId="10" xfId="53" applyFont="1" applyFill="1" applyBorder="1" applyAlignment="1">
      <alignment horizontal="right" wrapText="1"/>
      <protection/>
    </xf>
    <xf numFmtId="1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1" fontId="42" fillId="0" borderId="10" xfId="0" applyNumberFormat="1" applyFont="1" applyBorder="1" applyAlignment="1">
      <alignment horizontal="left"/>
    </xf>
    <xf numFmtId="0" fontId="42" fillId="0" borderId="10" xfId="0" applyFont="1" applyFill="1" applyBorder="1" applyAlignment="1">
      <alignment horizontal="right" wrapText="1"/>
    </xf>
    <xf numFmtId="3" fontId="42" fillId="0" borderId="10" xfId="0" applyNumberFormat="1" applyFont="1" applyBorder="1" applyAlignment="1">
      <alignment/>
    </xf>
    <xf numFmtId="0" fontId="41" fillId="0" borderId="10" xfId="53" applyFont="1" applyBorder="1" applyAlignment="1">
      <alignment horizontal="left"/>
      <protection/>
    </xf>
    <xf numFmtId="0" fontId="39" fillId="0" borderId="10" xfId="53" applyFont="1" applyBorder="1" applyAlignment="1">
      <alignment horizontal="left"/>
      <protection/>
    </xf>
    <xf numFmtId="0" fontId="39" fillId="0" borderId="10" xfId="53" applyFont="1" applyBorder="1" applyAlignment="1">
      <alignment horizontal="right" wrapText="1"/>
      <protection/>
    </xf>
    <xf numFmtId="1" fontId="39" fillId="0" borderId="10" xfId="53" applyNumberFormat="1" applyFont="1" applyBorder="1" applyAlignment="1">
      <alignment horizontal="left"/>
      <protection/>
    </xf>
    <xf numFmtId="0" fontId="39" fillId="0" borderId="10" xfId="53" applyFont="1" applyFill="1" applyBorder="1" applyAlignment="1">
      <alignment horizontal="right" wrapText="1"/>
      <protection/>
    </xf>
    <xf numFmtId="1" fontId="39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right" wrapText="1"/>
    </xf>
    <xf numFmtId="14" fontId="39" fillId="0" borderId="10" xfId="0" applyNumberFormat="1" applyFont="1" applyBorder="1" applyAlignment="1">
      <alignment horizontal="left"/>
    </xf>
    <xf numFmtId="0" fontId="39" fillId="0" borderId="10" xfId="53" applyFont="1" applyFill="1" applyBorder="1" applyAlignment="1">
      <alignment horizontal="left" wrapText="1"/>
      <protection/>
    </xf>
    <xf numFmtId="0" fontId="41" fillId="0" borderId="10" xfId="53" applyFont="1" applyBorder="1" applyAlignment="1">
      <alignment horizontal="right" wrapText="1"/>
      <protection/>
    </xf>
    <xf numFmtId="1" fontId="41" fillId="0" borderId="10" xfId="53" applyNumberFormat="1" applyFont="1" applyBorder="1" applyAlignment="1">
      <alignment horizontal="left"/>
      <protection/>
    </xf>
    <xf numFmtId="4" fontId="9" fillId="0" borderId="10" xfId="60" applyNumberFormat="1" applyFont="1" applyFill="1" applyBorder="1" applyAlignment="1">
      <alignment/>
    </xf>
    <xf numFmtId="0" fontId="39" fillId="0" borderId="10" xfId="53" applyFont="1" applyBorder="1" applyAlignment="1">
      <alignment horizontal="left" wrapText="1"/>
      <protection/>
    </xf>
    <xf numFmtId="1" fontId="39" fillId="0" borderId="14" xfId="53" applyNumberFormat="1" applyFont="1" applyBorder="1" applyAlignment="1">
      <alignment horizontal="left"/>
      <protection/>
    </xf>
    <xf numFmtId="0" fontId="41" fillId="0" borderId="14" xfId="53" applyFont="1" applyFill="1" applyBorder="1" applyAlignment="1">
      <alignment horizontal="right" wrapText="1"/>
      <protection/>
    </xf>
    <xf numFmtId="0" fontId="41" fillId="0" borderId="10" xfId="53" applyFont="1" applyBorder="1">
      <alignment/>
      <protection/>
    </xf>
    <xf numFmtId="3" fontId="39" fillId="0" borderId="14" xfId="53" applyNumberFormat="1" applyFont="1" applyBorder="1">
      <alignment/>
      <protection/>
    </xf>
    <xf numFmtId="1" fontId="39" fillId="0" borderId="10" xfId="53" applyNumberFormat="1" applyFont="1" applyFill="1" applyBorder="1" applyAlignment="1">
      <alignment horizontal="left"/>
      <protection/>
    </xf>
    <xf numFmtId="0" fontId="41" fillId="0" borderId="0" xfId="53" applyFont="1">
      <alignment/>
      <protection/>
    </xf>
    <xf numFmtId="0" fontId="41" fillId="0" borderId="0" xfId="53" applyFont="1" applyAlignment="1">
      <alignment horizontal="right"/>
      <protection/>
    </xf>
    <xf numFmtId="3" fontId="41" fillId="0" borderId="0" xfId="53" applyNumberFormat="1" applyFont="1">
      <alignment/>
      <protection/>
    </xf>
    <xf numFmtId="4" fontId="41" fillId="0" borderId="0" xfId="53" applyNumberFormat="1" applyFont="1">
      <alignment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ДДС 20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_report_2010_2%20&#1074;&#1072;&#1088;&#1080;&#1072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57;&#1046;%20&#1058;&#1072;&#1090;&#1080;&#1097;&#1077;&#1074;&#1072;,92\&#1069;&#1082;&#1089;&#1087;&#1083;&#1091;&#1072;&#1090;&#1072;&#1094;&#1080;&#1103;\Smeta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ДС 2010"/>
      <sheetName val="Сводный"/>
      <sheetName val="Провайдеры"/>
      <sheetName val="отчет по смете 2010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2011"/>
      <sheetName val="штатное "/>
      <sheetName val="анализ роста ЕСН"/>
    </sheetNames>
    <sheetDataSet>
      <sheetData sheetId="0">
        <row r="67">
          <cell r="C67" t="str">
            <v>Итого затраты на управление и содержание общего имущества (стр. 2.1. + стр. 2.2.)</v>
          </cell>
        </row>
        <row r="89">
          <cell r="C89" t="str">
            <v>уборка механизированных способом и вывоз снега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5"/>
  <sheetViews>
    <sheetView zoomScale="85" zoomScaleNormal="85" zoomScalePageLayoutView="0" workbookViewId="0" topLeftCell="A378">
      <selection activeCell="G396" sqref="G396"/>
    </sheetView>
  </sheetViews>
  <sheetFormatPr defaultColWidth="9.140625" defaultRowHeight="15"/>
  <cols>
    <col min="1" max="1" width="4.8515625" style="70" customWidth="1"/>
    <col min="2" max="2" width="37.8515625" style="70" customWidth="1"/>
    <col min="3" max="3" width="14.8515625" style="70" customWidth="1"/>
    <col min="4" max="4" width="12.57421875" style="70" customWidth="1"/>
    <col min="5" max="5" width="11.57421875" style="70" customWidth="1"/>
    <col min="6" max="6" width="11.421875" style="70" customWidth="1"/>
    <col min="7" max="7" width="12.57421875" style="70" customWidth="1"/>
    <col min="8" max="9" width="11.57421875" style="70" customWidth="1"/>
    <col min="10" max="10" width="12.00390625" style="70" customWidth="1"/>
    <col min="11" max="12" width="11.57421875" style="70" customWidth="1"/>
    <col min="13" max="13" width="12.00390625" style="70" bestFit="1" customWidth="1"/>
    <col min="14" max="14" width="11.57421875" style="70" bestFit="1" customWidth="1"/>
    <col min="15" max="15" width="11.28125" style="70" bestFit="1" customWidth="1"/>
    <col min="16" max="16" width="13.28125" style="70" bestFit="1" customWidth="1"/>
    <col min="17" max="17" width="10.28125" style="70" bestFit="1" customWidth="1"/>
    <col min="18" max="18" width="9.28125" style="70" bestFit="1" customWidth="1"/>
    <col min="19" max="19" width="9.140625" style="70" customWidth="1"/>
    <col min="20" max="20" width="9.28125" style="70" bestFit="1" customWidth="1"/>
    <col min="21" max="16384" width="9.140625" style="70" customWidth="1"/>
  </cols>
  <sheetData>
    <row r="1" ht="12.75">
      <c r="B1" s="64" t="s">
        <v>24</v>
      </c>
    </row>
    <row r="2" spans="1:15" ht="25.5">
      <c r="A2" s="71" t="s">
        <v>0</v>
      </c>
      <c r="B2" s="71" t="s">
        <v>70</v>
      </c>
      <c r="C2" s="67" t="s">
        <v>1</v>
      </c>
      <c r="D2" s="67" t="s">
        <v>2</v>
      </c>
      <c r="E2" s="67" t="s">
        <v>3</v>
      </c>
      <c r="F2" s="67" t="s">
        <v>4</v>
      </c>
      <c r="G2" s="67" t="s">
        <v>5</v>
      </c>
      <c r="H2" s="67" t="s">
        <v>6</v>
      </c>
      <c r="I2" s="67" t="s">
        <v>7</v>
      </c>
      <c r="J2" s="67" t="s">
        <v>8</v>
      </c>
      <c r="K2" s="67" t="s">
        <v>9</v>
      </c>
      <c r="L2" s="67" t="s">
        <v>10</v>
      </c>
      <c r="M2" s="67" t="s">
        <v>11</v>
      </c>
      <c r="N2" s="67" t="s">
        <v>12</v>
      </c>
      <c r="O2" s="67" t="s">
        <v>13</v>
      </c>
    </row>
    <row r="3" spans="1:15" s="64" customFormat="1" ht="27" customHeight="1">
      <c r="A3" s="67">
        <v>1</v>
      </c>
      <c r="B3" s="72" t="s">
        <v>59</v>
      </c>
      <c r="C3" s="73">
        <f aca="true" t="shared" si="0" ref="C3:C31">SUM(D3:O3)</f>
        <v>3138173.789999999</v>
      </c>
      <c r="D3" s="69">
        <f>SUM(D4:D6)</f>
        <v>261581.23</v>
      </c>
      <c r="E3" s="69">
        <f aca="true" t="shared" si="1" ref="E3:O3">SUM(E4:E6)</f>
        <v>261572.38</v>
      </c>
      <c r="F3" s="69">
        <f t="shared" si="1"/>
        <v>261572.38</v>
      </c>
      <c r="G3" s="69">
        <f t="shared" si="1"/>
        <v>261572.38</v>
      </c>
      <c r="H3" s="69">
        <f t="shared" si="1"/>
        <v>261572.38</v>
      </c>
      <c r="I3" s="69">
        <f t="shared" si="1"/>
        <v>261572.38</v>
      </c>
      <c r="J3" s="69">
        <f t="shared" si="1"/>
        <v>261572.38</v>
      </c>
      <c r="K3" s="69">
        <f t="shared" si="1"/>
        <v>261572.38</v>
      </c>
      <c r="L3" s="69">
        <f t="shared" si="1"/>
        <v>261572.38</v>
      </c>
      <c r="M3" s="69">
        <f t="shared" si="1"/>
        <v>261337.84000000003</v>
      </c>
      <c r="N3" s="69">
        <f t="shared" si="1"/>
        <v>261337.84000000003</v>
      </c>
      <c r="O3" s="69">
        <f t="shared" si="1"/>
        <v>261337.84000000003</v>
      </c>
    </row>
    <row r="4" spans="1:15" ht="12.75">
      <c r="A4" s="74"/>
      <c r="B4" s="75" t="s">
        <v>14</v>
      </c>
      <c r="C4" s="11">
        <f t="shared" si="0"/>
        <v>2677109.1900000004</v>
      </c>
      <c r="D4" s="11">
        <v>223159.18</v>
      </c>
      <c r="E4" s="11">
        <v>223150.33</v>
      </c>
      <c r="F4" s="11">
        <v>223150.33</v>
      </c>
      <c r="G4" s="11">
        <v>223150.33</v>
      </c>
      <c r="H4" s="11">
        <v>223150.33</v>
      </c>
      <c r="I4" s="11">
        <v>223150.33</v>
      </c>
      <c r="J4" s="11">
        <v>223150.33</v>
      </c>
      <c r="K4" s="11">
        <v>223150.33</v>
      </c>
      <c r="L4" s="11">
        <v>223150.33</v>
      </c>
      <c r="M4" s="11">
        <v>222915.79</v>
      </c>
      <c r="N4" s="11">
        <v>222915.79</v>
      </c>
      <c r="O4" s="11">
        <v>222915.79</v>
      </c>
    </row>
    <row r="5" spans="1:15" ht="12.75">
      <c r="A5" s="74"/>
      <c r="B5" s="75" t="s">
        <v>15</v>
      </c>
      <c r="C5" s="11">
        <f t="shared" si="0"/>
        <v>328441.56</v>
      </c>
      <c r="D5" s="11">
        <v>27370.13</v>
      </c>
      <c r="E5" s="11">
        <v>27370.13</v>
      </c>
      <c r="F5" s="11">
        <v>27370.13</v>
      </c>
      <c r="G5" s="11">
        <v>27370.13</v>
      </c>
      <c r="H5" s="11">
        <v>27370.13</v>
      </c>
      <c r="I5" s="11">
        <v>27370.13</v>
      </c>
      <c r="J5" s="11">
        <v>27370.13</v>
      </c>
      <c r="K5" s="11">
        <v>27370.13</v>
      </c>
      <c r="L5" s="11">
        <v>27370.13</v>
      </c>
      <c r="M5" s="11">
        <v>27370.13</v>
      </c>
      <c r="N5" s="11">
        <v>27370.13</v>
      </c>
      <c r="O5" s="11">
        <v>27370.13</v>
      </c>
    </row>
    <row r="6" spans="1:15" ht="12.75">
      <c r="A6" s="76"/>
      <c r="B6" s="77" t="s">
        <v>16</v>
      </c>
      <c r="C6" s="11">
        <f t="shared" si="0"/>
        <v>132623.04</v>
      </c>
      <c r="D6" s="11">
        <v>11051.92</v>
      </c>
      <c r="E6" s="11">
        <v>11051.92</v>
      </c>
      <c r="F6" s="11">
        <v>11051.92</v>
      </c>
      <c r="G6" s="11">
        <v>11051.92</v>
      </c>
      <c r="H6" s="11">
        <v>11051.92</v>
      </c>
      <c r="I6" s="11">
        <v>11051.92</v>
      </c>
      <c r="J6" s="11">
        <v>11051.92</v>
      </c>
      <c r="K6" s="11">
        <v>11051.92</v>
      </c>
      <c r="L6" s="11">
        <v>11051.92</v>
      </c>
      <c r="M6" s="11">
        <v>11051.92</v>
      </c>
      <c r="N6" s="11">
        <v>11051.92</v>
      </c>
      <c r="O6" s="11">
        <v>11051.92</v>
      </c>
    </row>
    <row r="7" spans="1:15" s="64" customFormat="1" ht="12.75">
      <c r="A7" s="67">
        <v>2</v>
      </c>
      <c r="B7" s="78" t="s">
        <v>60</v>
      </c>
      <c r="C7" s="73">
        <f t="shared" si="0"/>
        <v>553040.25</v>
      </c>
      <c r="D7" s="69">
        <f aca="true" t="shared" si="2" ref="D7:O7">SUM(D8:D10)</f>
        <v>46098</v>
      </c>
      <c r="E7" s="69">
        <f t="shared" si="2"/>
        <v>46096.5</v>
      </c>
      <c r="F7" s="69">
        <f t="shared" si="2"/>
        <v>46096.5</v>
      </c>
      <c r="G7" s="69">
        <f t="shared" si="2"/>
        <v>46096.5</v>
      </c>
      <c r="H7" s="69">
        <f t="shared" si="2"/>
        <v>46096.5</v>
      </c>
      <c r="I7" s="69">
        <f t="shared" si="2"/>
        <v>46096.5</v>
      </c>
      <c r="J7" s="69">
        <f t="shared" si="2"/>
        <v>46096.5</v>
      </c>
      <c r="K7" s="69">
        <f t="shared" si="2"/>
        <v>46096.5</v>
      </c>
      <c r="L7" s="69">
        <f t="shared" si="2"/>
        <v>46096.5</v>
      </c>
      <c r="M7" s="69">
        <f t="shared" si="2"/>
        <v>46056.75</v>
      </c>
      <c r="N7" s="69">
        <f t="shared" si="2"/>
        <v>46056.75</v>
      </c>
      <c r="O7" s="69">
        <f t="shared" si="2"/>
        <v>46056.75</v>
      </c>
    </row>
    <row r="8" spans="1:15" ht="12.75">
      <c r="A8" s="74"/>
      <c r="B8" s="75" t="s">
        <v>14</v>
      </c>
      <c r="C8" s="11">
        <f t="shared" si="0"/>
        <v>453746.25</v>
      </c>
      <c r="D8" s="11">
        <v>37823.5</v>
      </c>
      <c r="E8" s="11">
        <v>37822</v>
      </c>
      <c r="F8" s="11">
        <v>37822</v>
      </c>
      <c r="G8" s="11">
        <v>37822</v>
      </c>
      <c r="H8" s="11">
        <v>37822</v>
      </c>
      <c r="I8" s="11">
        <v>37822</v>
      </c>
      <c r="J8" s="11">
        <v>37822</v>
      </c>
      <c r="K8" s="11">
        <v>37822</v>
      </c>
      <c r="L8" s="11">
        <v>37822</v>
      </c>
      <c r="M8" s="11">
        <v>37782.25</v>
      </c>
      <c r="N8" s="11">
        <v>37782.25</v>
      </c>
      <c r="O8" s="11">
        <v>37782.25</v>
      </c>
    </row>
    <row r="9" spans="1:15" ht="12.75">
      <c r="A9" s="74"/>
      <c r="B9" s="75" t="s">
        <v>15</v>
      </c>
      <c r="C9" s="11">
        <f t="shared" si="0"/>
        <v>55668</v>
      </c>
      <c r="D9" s="11">
        <v>4639</v>
      </c>
      <c r="E9" s="11">
        <v>4639</v>
      </c>
      <c r="F9" s="11">
        <v>4639</v>
      </c>
      <c r="G9" s="11">
        <v>4639</v>
      </c>
      <c r="H9" s="11">
        <v>4639</v>
      </c>
      <c r="I9" s="11">
        <v>4639</v>
      </c>
      <c r="J9" s="11">
        <v>4639</v>
      </c>
      <c r="K9" s="11">
        <v>4639</v>
      </c>
      <c r="L9" s="11">
        <v>4639</v>
      </c>
      <c r="M9" s="11">
        <v>4639</v>
      </c>
      <c r="N9" s="11">
        <v>4639</v>
      </c>
      <c r="O9" s="11">
        <v>4639</v>
      </c>
    </row>
    <row r="10" spans="1:15" ht="12.75">
      <c r="A10" s="76"/>
      <c r="B10" s="77" t="s">
        <v>16</v>
      </c>
      <c r="C10" s="11">
        <f t="shared" si="0"/>
        <v>43626</v>
      </c>
      <c r="D10" s="11">
        <v>3635.5</v>
      </c>
      <c r="E10" s="11">
        <v>3635.5</v>
      </c>
      <c r="F10" s="11">
        <v>3635.5</v>
      </c>
      <c r="G10" s="11">
        <v>3635.5</v>
      </c>
      <c r="H10" s="11">
        <v>3635.5</v>
      </c>
      <c r="I10" s="11">
        <v>3635.5</v>
      </c>
      <c r="J10" s="11">
        <v>3635.5</v>
      </c>
      <c r="K10" s="11">
        <v>3635.5</v>
      </c>
      <c r="L10" s="11">
        <v>3635.5</v>
      </c>
      <c r="M10" s="11">
        <v>3635.5</v>
      </c>
      <c r="N10" s="11">
        <v>3635.5</v>
      </c>
      <c r="O10" s="11">
        <v>3635.5</v>
      </c>
    </row>
    <row r="11" spans="1:15" s="64" customFormat="1" ht="12.75">
      <c r="A11" s="67">
        <v>3</v>
      </c>
      <c r="B11" s="78" t="s">
        <v>17</v>
      </c>
      <c r="C11" s="69">
        <f t="shared" si="0"/>
        <v>1031538.78</v>
      </c>
      <c r="D11" s="69">
        <f aca="true" t="shared" si="3" ref="D11:O11">SUM(D12:D14)</f>
        <v>226147.68</v>
      </c>
      <c r="E11" s="69">
        <f t="shared" si="3"/>
        <v>227401.72999999998</v>
      </c>
      <c r="F11" s="69">
        <f t="shared" si="3"/>
        <v>131729.88</v>
      </c>
      <c r="G11" s="69">
        <f t="shared" si="3"/>
        <v>59608.89</v>
      </c>
      <c r="H11" s="69">
        <f t="shared" si="3"/>
        <v>0</v>
      </c>
      <c r="I11" s="69">
        <f t="shared" si="3"/>
        <v>0</v>
      </c>
      <c r="J11" s="69">
        <f t="shared" si="3"/>
        <v>0</v>
      </c>
      <c r="K11" s="69">
        <f t="shared" si="3"/>
        <v>0</v>
      </c>
      <c r="L11" s="69">
        <f t="shared" si="3"/>
        <v>0</v>
      </c>
      <c r="M11" s="69">
        <f t="shared" si="3"/>
        <v>58989.81</v>
      </c>
      <c r="N11" s="69">
        <f t="shared" si="3"/>
        <v>127121.15999999999</v>
      </c>
      <c r="O11" s="69">
        <f t="shared" si="3"/>
        <v>200539.63</v>
      </c>
    </row>
    <row r="12" spans="1:15" ht="12.75">
      <c r="A12" s="74"/>
      <c r="B12" s="75" t="s">
        <v>14</v>
      </c>
      <c r="C12" s="11">
        <f t="shared" si="0"/>
        <v>743819.3300000001</v>
      </c>
      <c r="D12" s="11">
        <f>103772.58+19671.91+49450.21</f>
        <v>172894.7</v>
      </c>
      <c r="E12" s="11">
        <f>127799.08+21408.98+20109.46</f>
        <v>169317.52</v>
      </c>
      <c r="F12" s="11">
        <f>60261.84+16200.57+17363.74</f>
        <v>93826.15000000001</v>
      </c>
      <c r="G12" s="11">
        <f>28155.1+16569.82</f>
        <v>44724.92</v>
      </c>
      <c r="H12" s="11"/>
      <c r="I12" s="11"/>
      <c r="J12" s="11"/>
      <c r="K12" s="11"/>
      <c r="L12" s="11"/>
      <c r="M12" s="11">
        <f>32348.43</f>
        <v>32348.43</v>
      </c>
      <c r="N12" s="11">
        <v>86104.79</v>
      </c>
      <c r="O12" s="11">
        <f>144602.82</f>
        <v>144602.82</v>
      </c>
    </row>
    <row r="13" spans="1:15" ht="12.75">
      <c r="A13" s="74"/>
      <c r="B13" s="75" t="s">
        <v>15</v>
      </c>
      <c r="C13" s="11">
        <f t="shared" si="0"/>
        <v>185089.34999999998</v>
      </c>
      <c r="D13" s="11">
        <v>29258.17</v>
      </c>
      <c r="E13" s="11">
        <v>35713.09</v>
      </c>
      <c r="F13" s="11">
        <v>23221.48</v>
      </c>
      <c r="G13" s="11">
        <v>14128.93</v>
      </c>
      <c r="H13" s="11"/>
      <c r="I13" s="11"/>
      <c r="J13" s="11"/>
      <c r="K13" s="11"/>
      <c r="L13" s="11"/>
      <c r="M13" s="11">
        <v>18919.92</v>
      </c>
      <c r="N13" s="11">
        <v>22481.54</v>
      </c>
      <c r="O13" s="11">
        <v>41366.22</v>
      </c>
    </row>
    <row r="14" spans="1:15" ht="12.75">
      <c r="A14" s="74"/>
      <c r="B14" s="75" t="s">
        <v>16</v>
      </c>
      <c r="C14" s="11">
        <f t="shared" si="0"/>
        <v>102630.09999999999</v>
      </c>
      <c r="D14" s="11">
        <f>18793.37+5201.44</f>
        <v>23994.809999999998</v>
      </c>
      <c r="E14" s="11">
        <f>20136.02+2235.1</f>
        <v>22371.12</v>
      </c>
      <c r="F14" s="11">
        <f>12920.4+1761.85</f>
        <v>14682.25</v>
      </c>
      <c r="G14" s="11">
        <f>755.04</f>
        <v>755.04</v>
      </c>
      <c r="H14" s="11"/>
      <c r="I14" s="11"/>
      <c r="J14" s="11"/>
      <c r="K14" s="11"/>
      <c r="L14" s="11"/>
      <c r="M14" s="11">
        <v>7721.46</v>
      </c>
      <c r="N14" s="11">
        <f>16212.11+2322.72</f>
        <v>18534.83</v>
      </c>
      <c r="O14" s="11">
        <f>10530.44+4040.15</f>
        <v>14570.59</v>
      </c>
    </row>
    <row r="15" spans="1:15" s="64" customFormat="1" ht="12.75">
      <c r="A15" s="67">
        <v>4</v>
      </c>
      <c r="B15" s="78" t="s">
        <v>18</v>
      </c>
      <c r="C15" s="69">
        <f t="shared" si="0"/>
        <v>378562.81</v>
      </c>
      <c r="D15" s="69">
        <f>SUM(D16:D17)</f>
        <v>29444.52</v>
      </c>
      <c r="E15" s="69">
        <f aca="true" t="shared" si="4" ref="E15:O15">SUM(E16:E17)</f>
        <v>40162.32000000001</v>
      </c>
      <c r="F15" s="69">
        <f t="shared" si="4"/>
        <v>26760.82</v>
      </c>
      <c r="G15" s="69">
        <f t="shared" si="4"/>
        <v>32629.11</v>
      </c>
      <c r="H15" s="69">
        <f t="shared" si="4"/>
        <v>23874.030000000002</v>
      </c>
      <c r="I15" s="69">
        <f t="shared" si="4"/>
        <v>28531.350000000002</v>
      </c>
      <c r="J15" s="69">
        <f t="shared" si="4"/>
        <v>31095.35</v>
      </c>
      <c r="K15" s="69">
        <f t="shared" si="4"/>
        <v>30196.54</v>
      </c>
      <c r="L15" s="69">
        <f t="shared" si="4"/>
        <v>32883.31</v>
      </c>
      <c r="M15" s="69">
        <f t="shared" si="4"/>
        <v>26944.91</v>
      </c>
      <c r="N15" s="69">
        <f t="shared" si="4"/>
        <v>53061.69</v>
      </c>
      <c r="O15" s="69">
        <f t="shared" si="4"/>
        <v>22978.86</v>
      </c>
    </row>
    <row r="16" spans="1:15" ht="12.75">
      <c r="A16" s="74"/>
      <c r="B16" s="75" t="s">
        <v>14</v>
      </c>
      <c r="C16" s="11">
        <f t="shared" si="0"/>
        <v>332710.77999999997</v>
      </c>
      <c r="D16" s="11">
        <f>2454.64+4982.18+17527.48</f>
        <v>24964.3</v>
      </c>
      <c r="E16" s="11">
        <f>2471.32+31412.2</f>
        <v>33883.520000000004</v>
      </c>
      <c r="F16" s="11">
        <f>1707.68+19999.46</f>
        <v>21707.14</v>
      </c>
      <c r="G16" s="11">
        <f>1900.48+27241.09</f>
        <v>29141.57</v>
      </c>
      <c r="H16" s="11">
        <f>1447.83+19268.64</f>
        <v>20716.47</v>
      </c>
      <c r="I16" s="11">
        <f>1632.04+23295.43</f>
        <v>24927.47</v>
      </c>
      <c r="J16" s="11">
        <f>1428.03+26050.37</f>
        <v>27478.399999999998</v>
      </c>
      <c r="K16" s="11">
        <f>1506.98+24978.24</f>
        <v>26485.22</v>
      </c>
      <c r="L16" s="11">
        <f>1530.03+27216.17</f>
        <v>28746.199999999997</v>
      </c>
      <c r="M16" s="11">
        <f>1734.04+21389.03</f>
        <v>23123.07</v>
      </c>
      <c r="N16" s="11">
        <v>50463.69</v>
      </c>
      <c r="O16" s="11">
        <f>1836.04+19237.69</f>
        <v>21073.73</v>
      </c>
    </row>
    <row r="17" spans="1:15" ht="12.75">
      <c r="A17" s="74"/>
      <c r="B17" s="75" t="s">
        <v>15</v>
      </c>
      <c r="C17" s="11">
        <f t="shared" si="0"/>
        <v>45852.030000000006</v>
      </c>
      <c r="D17" s="11">
        <v>4480.22</v>
      </c>
      <c r="E17" s="11">
        <v>6278.8</v>
      </c>
      <c r="F17" s="11">
        <v>5053.68</v>
      </c>
      <c r="G17" s="11">
        <v>3487.54</v>
      </c>
      <c r="H17" s="11">
        <v>3157.56</v>
      </c>
      <c r="I17" s="11">
        <v>3603.88</v>
      </c>
      <c r="J17" s="11">
        <v>3616.95</v>
      </c>
      <c r="K17" s="11">
        <v>3711.32</v>
      </c>
      <c r="L17" s="11">
        <v>4137.11</v>
      </c>
      <c r="M17" s="11">
        <v>3821.84</v>
      </c>
      <c r="N17" s="11">
        <v>2598</v>
      </c>
      <c r="O17" s="11">
        <v>1905.13</v>
      </c>
    </row>
    <row r="18" spans="1:15" s="64" customFormat="1" ht="12.75">
      <c r="A18" s="67">
        <v>5</v>
      </c>
      <c r="B18" s="78" t="s">
        <v>19</v>
      </c>
      <c r="C18" s="69">
        <f t="shared" si="0"/>
        <v>261570.62999999998</v>
      </c>
      <c r="D18" s="69">
        <f aca="true" t="shared" si="5" ref="D18:O18">SUM(D19:D20)</f>
        <v>24052.96</v>
      </c>
      <c r="E18" s="69">
        <f t="shared" si="5"/>
        <v>32679.67</v>
      </c>
      <c r="F18" s="69">
        <f t="shared" si="5"/>
        <v>22220.89</v>
      </c>
      <c r="G18" s="69">
        <f t="shared" si="5"/>
        <v>27749.93</v>
      </c>
      <c r="H18" s="69">
        <f t="shared" si="5"/>
        <v>19661.920000000002</v>
      </c>
      <c r="I18" s="69">
        <f t="shared" si="5"/>
        <v>19380.97</v>
      </c>
      <c r="J18" s="69">
        <f t="shared" si="5"/>
        <v>11481.49</v>
      </c>
      <c r="K18" s="69">
        <f t="shared" si="5"/>
        <v>13799.23</v>
      </c>
      <c r="L18" s="69">
        <f t="shared" si="5"/>
        <v>21021.16</v>
      </c>
      <c r="M18" s="69">
        <f t="shared" si="5"/>
        <v>21032.25</v>
      </c>
      <c r="N18" s="69">
        <f t="shared" si="5"/>
        <v>27073.27</v>
      </c>
      <c r="O18" s="69">
        <f t="shared" si="5"/>
        <v>21416.890000000003</v>
      </c>
    </row>
    <row r="19" spans="1:15" ht="12.75">
      <c r="A19" s="74"/>
      <c r="B19" s="75" t="s">
        <v>14</v>
      </c>
      <c r="C19" s="11">
        <f t="shared" si="0"/>
        <v>259021.96999999997</v>
      </c>
      <c r="D19" s="11">
        <f>18262.26+1737+4053.7</f>
        <v>24052.96</v>
      </c>
      <c r="E19" s="11">
        <f>30820.21+1859.46</f>
        <v>32679.67</v>
      </c>
      <c r="F19" s="11">
        <f>20968.89+1252</f>
        <v>22220.89</v>
      </c>
      <c r="G19" s="11">
        <f>26325.52+1424.41</f>
        <v>27749.93</v>
      </c>
      <c r="H19" s="11">
        <f>18277.61+1384.31</f>
        <v>19661.920000000002</v>
      </c>
      <c r="I19" s="11">
        <f>17558.72+1822.25</f>
        <v>19380.97</v>
      </c>
      <c r="J19" s="11">
        <f>10114.81+1366.68</f>
        <v>11481.49</v>
      </c>
      <c r="K19" s="11">
        <f>12366.14+1433.09</f>
        <v>13799.23</v>
      </c>
      <c r="L19" s="11">
        <f>19563.37+1457.79</f>
        <v>21021.16</v>
      </c>
      <c r="M19" s="11">
        <f>19392.23+1640.02</f>
        <v>21032.25</v>
      </c>
      <c r="N19" s="11">
        <f>23889.93+1731.13</f>
        <v>25621.06</v>
      </c>
      <c r="O19" s="11">
        <f>18589.31+1731.13</f>
        <v>20320.440000000002</v>
      </c>
    </row>
    <row r="20" spans="1:15" ht="12.75">
      <c r="A20" s="74"/>
      <c r="B20" s="75" t="s">
        <v>15</v>
      </c>
      <c r="C20" s="11">
        <f t="shared" si="0"/>
        <v>2548.66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1452.21</v>
      </c>
      <c r="O20" s="11">
        <v>1096.45</v>
      </c>
    </row>
    <row r="21" spans="1:15" s="64" customFormat="1" ht="12.75">
      <c r="A21" s="67">
        <v>6</v>
      </c>
      <c r="B21" s="78" t="s">
        <v>20</v>
      </c>
      <c r="C21" s="69">
        <f t="shared" si="0"/>
        <v>525300.0399999999</v>
      </c>
      <c r="D21" s="69">
        <f aca="true" t="shared" si="6" ref="D21:O21">SUM(D22:D23)</f>
        <v>42462.020000000004</v>
      </c>
      <c r="E21" s="69">
        <f t="shared" si="6"/>
        <v>59613.26</v>
      </c>
      <c r="F21" s="69">
        <f t="shared" si="6"/>
        <v>48127.19</v>
      </c>
      <c r="G21" s="69">
        <f t="shared" si="6"/>
        <v>51008.15000000001</v>
      </c>
      <c r="H21" s="69">
        <f t="shared" si="6"/>
        <v>42025.34</v>
      </c>
      <c r="I21" s="69">
        <f t="shared" si="6"/>
        <v>61611.61</v>
      </c>
      <c r="J21" s="69">
        <f t="shared" si="6"/>
        <v>24719.28</v>
      </c>
      <c r="K21" s="69">
        <f t="shared" si="6"/>
        <v>31103.92</v>
      </c>
      <c r="L21" s="69">
        <f t="shared" si="6"/>
        <v>42132.61</v>
      </c>
      <c r="M21" s="69">
        <f t="shared" si="6"/>
        <v>44380.490000000005</v>
      </c>
      <c r="N21" s="69">
        <f t="shared" si="6"/>
        <v>27216.65</v>
      </c>
      <c r="O21" s="69">
        <f t="shared" si="6"/>
        <v>50899.520000000004</v>
      </c>
    </row>
    <row r="22" spans="1:17" ht="12.75">
      <c r="A22" s="74"/>
      <c r="B22" s="75" t="s">
        <v>14</v>
      </c>
      <c r="C22" s="11">
        <f t="shared" si="0"/>
        <v>492816.99000000005</v>
      </c>
      <c r="D22" s="11">
        <f>37098.47+2501.37</f>
        <v>39599.840000000004</v>
      </c>
      <c r="E22" s="11">
        <f>52982.76+2640.83</f>
        <v>55623.590000000004</v>
      </c>
      <c r="F22" s="11">
        <f>41848.61+1903.08</f>
        <v>43751.69</v>
      </c>
      <c r="G22" s="11">
        <f>45378.98+2164.73</f>
        <v>47543.71000000001</v>
      </c>
      <c r="H22" s="11">
        <f>37097.2+2104.08</f>
        <v>39201.28</v>
      </c>
      <c r="I22" s="11">
        <f>56278.75+2769.37</f>
        <v>59048.12</v>
      </c>
      <c r="J22" s="11">
        <f>20766.89+2077.03</f>
        <v>22843.92</v>
      </c>
      <c r="K22" s="11">
        <f>26576.34+2215.5</f>
        <v>28791.84</v>
      </c>
      <c r="L22" s="11">
        <f>37176.42+2215.5</f>
        <v>39391.92</v>
      </c>
      <c r="M22" s="11">
        <f>41888.05+2492.44</f>
        <v>44380.490000000005</v>
      </c>
      <c r="N22" s="11">
        <v>24448.39</v>
      </c>
      <c r="O22" s="11">
        <f>45699.76+2492.44</f>
        <v>48192.200000000004</v>
      </c>
      <c r="Q22" s="10"/>
    </row>
    <row r="23" spans="1:15" ht="12.75">
      <c r="A23" s="74"/>
      <c r="B23" s="75" t="s">
        <v>15</v>
      </c>
      <c r="C23" s="11">
        <f t="shared" si="0"/>
        <v>32483.050000000003</v>
      </c>
      <c r="D23" s="11">
        <v>2862.18</v>
      </c>
      <c r="E23" s="11">
        <v>3989.67</v>
      </c>
      <c r="F23" s="11">
        <v>4375.5</v>
      </c>
      <c r="G23" s="11">
        <v>3464.44</v>
      </c>
      <c r="H23" s="11">
        <v>2824.06</v>
      </c>
      <c r="I23" s="11">
        <v>2563.49</v>
      </c>
      <c r="J23" s="11">
        <v>1875.36</v>
      </c>
      <c r="K23" s="11">
        <v>2312.08</v>
      </c>
      <c r="L23" s="11">
        <v>2740.69</v>
      </c>
      <c r="M23" s="11"/>
      <c r="N23" s="11">
        <v>2768.26</v>
      </c>
      <c r="O23" s="11">
        <v>2707.32</v>
      </c>
    </row>
    <row r="24" spans="1:15" s="64" customFormat="1" ht="12.75">
      <c r="A24" s="67">
        <v>7</v>
      </c>
      <c r="B24" s="78" t="s">
        <v>21</v>
      </c>
      <c r="C24" s="69">
        <f t="shared" si="0"/>
        <v>318187.95</v>
      </c>
      <c r="D24" s="69">
        <f aca="true" t="shared" si="7" ref="D24:O24">SUM(D25:D26)</f>
        <v>27196.389999999996</v>
      </c>
      <c r="E24" s="69">
        <f t="shared" si="7"/>
        <v>38803.21</v>
      </c>
      <c r="F24" s="69">
        <f t="shared" si="7"/>
        <v>26005.4</v>
      </c>
      <c r="G24" s="69">
        <f t="shared" si="7"/>
        <v>31192.25</v>
      </c>
      <c r="H24" s="69">
        <f t="shared" si="7"/>
        <v>22473.4</v>
      </c>
      <c r="I24" s="69">
        <f t="shared" si="7"/>
        <v>24289.73</v>
      </c>
      <c r="J24" s="69">
        <f t="shared" si="7"/>
        <v>22041.56</v>
      </c>
      <c r="K24" s="69">
        <f t="shared" si="7"/>
        <v>22840.16</v>
      </c>
      <c r="L24" s="69">
        <f t="shared" si="7"/>
        <v>27859.45</v>
      </c>
      <c r="M24" s="69">
        <f t="shared" si="7"/>
        <v>24691.3</v>
      </c>
      <c r="N24" s="69">
        <f t="shared" si="7"/>
        <v>27991.789999999997</v>
      </c>
      <c r="O24" s="69">
        <f t="shared" si="7"/>
        <v>22803.309999999998</v>
      </c>
    </row>
    <row r="25" spans="1:15" ht="12.75">
      <c r="A25" s="74"/>
      <c r="B25" s="75" t="s">
        <v>14</v>
      </c>
      <c r="C25" s="11">
        <f t="shared" si="0"/>
        <v>292021.9</v>
      </c>
      <c r="D25" s="11">
        <f>18476.6+2462.8+3990.53</f>
        <v>24929.929999999997</v>
      </c>
      <c r="E25" s="11">
        <f>32160.87+3192.32</f>
        <v>35353.19</v>
      </c>
      <c r="F25" s="11">
        <f>21030+1622.07</f>
        <v>22652.07</v>
      </c>
      <c r="G25" s="11">
        <f>27462.22+1805.34</f>
        <v>29267.56</v>
      </c>
      <c r="H25" s="11">
        <f>19492.84+1379.82</f>
        <v>20872.66</v>
      </c>
      <c r="I25" s="11">
        <f>20901.63+1550.19</f>
        <v>22451.82</v>
      </c>
      <c r="J25" s="11">
        <f>18866.06+1229.55</f>
        <v>20095.61</v>
      </c>
      <c r="K25" s="11">
        <f>19427.92+1431.43</f>
        <v>20859.35</v>
      </c>
      <c r="L25" s="11">
        <f>24235.39+1453.31</f>
        <v>25688.7</v>
      </c>
      <c r="M25" s="11">
        <f>21071.1+1647.08</f>
        <v>22718.18</v>
      </c>
      <c r="N25" s="11">
        <v>25899.94</v>
      </c>
      <c r="O25" s="11">
        <f>19488.92+1743.97</f>
        <v>21232.89</v>
      </c>
    </row>
    <row r="26" spans="1:15" ht="12.75">
      <c r="A26" s="74"/>
      <c r="B26" s="75" t="s">
        <v>15</v>
      </c>
      <c r="C26" s="11">
        <f t="shared" si="0"/>
        <v>26166.049999999996</v>
      </c>
      <c r="D26" s="11">
        <v>2266.46</v>
      </c>
      <c r="E26" s="11">
        <v>3450.02</v>
      </c>
      <c r="F26" s="11">
        <v>3353.33</v>
      </c>
      <c r="G26" s="11">
        <v>1924.69</v>
      </c>
      <c r="H26" s="11">
        <v>1600.74</v>
      </c>
      <c r="I26" s="11">
        <v>1837.91</v>
      </c>
      <c r="J26" s="11">
        <v>1945.95</v>
      </c>
      <c r="K26" s="11">
        <v>1980.81</v>
      </c>
      <c r="L26" s="11">
        <v>2170.75</v>
      </c>
      <c r="M26" s="11">
        <v>1973.12</v>
      </c>
      <c r="N26" s="11">
        <v>2091.85</v>
      </c>
      <c r="O26" s="11">
        <v>1570.42</v>
      </c>
    </row>
    <row r="27" spans="1:15" s="64" customFormat="1" ht="12.75">
      <c r="A27" s="67">
        <v>8</v>
      </c>
      <c r="B27" s="78" t="s">
        <v>22</v>
      </c>
      <c r="C27" s="69">
        <f t="shared" si="0"/>
        <v>2160542.49</v>
      </c>
      <c r="D27" s="69">
        <f>SUM(D28:D30)</f>
        <v>325929.22000000003</v>
      </c>
      <c r="E27" s="69">
        <f aca="true" t="shared" si="8" ref="E27:N27">SUM(E28:E30)</f>
        <v>210825.08</v>
      </c>
      <c r="F27" s="69">
        <f t="shared" si="8"/>
        <v>162532.95999999996</v>
      </c>
      <c r="G27" s="69">
        <f t="shared" si="8"/>
        <v>158090.24999999997</v>
      </c>
      <c r="H27" s="69">
        <f t="shared" si="8"/>
        <v>138655.06</v>
      </c>
      <c r="I27" s="69">
        <f t="shared" si="8"/>
        <v>147833.04</v>
      </c>
      <c r="J27" s="69">
        <f t="shared" si="8"/>
        <v>134065.82</v>
      </c>
      <c r="K27" s="69">
        <f t="shared" si="8"/>
        <v>164264.83000000002</v>
      </c>
      <c r="L27" s="69">
        <f t="shared" si="8"/>
        <v>182953.12999999998</v>
      </c>
      <c r="M27" s="69">
        <f t="shared" si="8"/>
        <v>166660.05</v>
      </c>
      <c r="N27" s="69">
        <f t="shared" si="8"/>
        <v>198039.72</v>
      </c>
      <c r="O27" s="69">
        <f>SUM(O28:O30)</f>
        <v>170693.33000000002</v>
      </c>
    </row>
    <row r="28" spans="1:15" ht="12.75">
      <c r="A28" s="74"/>
      <c r="B28" s="75" t="s">
        <v>14</v>
      </c>
      <c r="C28" s="11">
        <f t="shared" si="0"/>
        <v>1095601.3900000001</v>
      </c>
      <c r="D28" s="11">
        <f>65637.42+129911.91</f>
        <v>195549.33000000002</v>
      </c>
      <c r="E28" s="11">
        <f>118881.84</f>
        <v>118881.84</v>
      </c>
      <c r="F28" s="11">
        <v>76591.68</v>
      </c>
      <c r="G28" s="11">
        <f>72309.23+174.02</f>
        <v>72483.25</v>
      </c>
      <c r="H28" s="11">
        <f>64453.65+2542.54</f>
        <v>66996.19</v>
      </c>
      <c r="I28" s="11">
        <f>62715.36+2507.12</f>
        <v>65222.48</v>
      </c>
      <c r="J28" s="11">
        <f>61239+2152.92</f>
        <v>63391.92</v>
      </c>
      <c r="K28" s="11">
        <f>65089.94+3092.32</f>
        <v>68182.26000000001</v>
      </c>
      <c r="L28" s="11">
        <f>99080.9+2898.28</f>
        <v>101979.18</v>
      </c>
      <c r="M28" s="11">
        <f>80950.12+2869.02</f>
        <v>83819.14</v>
      </c>
      <c r="N28" s="11">
        <v>94807.82</v>
      </c>
      <c r="O28" s="11">
        <f>84450.96+3245.34</f>
        <v>87696.3</v>
      </c>
    </row>
    <row r="29" spans="1:15" ht="12.75">
      <c r="A29" s="74"/>
      <c r="B29" s="75" t="s">
        <v>15</v>
      </c>
      <c r="C29" s="11">
        <f t="shared" si="0"/>
        <v>967688.1799999999</v>
      </c>
      <c r="D29" s="11">
        <v>108283.57</v>
      </c>
      <c r="E29" s="11">
        <v>78668.02</v>
      </c>
      <c r="F29" s="11">
        <v>76110.23</v>
      </c>
      <c r="G29" s="11">
        <v>76440.79</v>
      </c>
      <c r="H29" s="11">
        <v>63267.59</v>
      </c>
      <c r="I29" s="11">
        <v>77387.93</v>
      </c>
      <c r="J29" s="11">
        <v>66731.84</v>
      </c>
      <c r="K29" s="11">
        <v>91751.69</v>
      </c>
      <c r="L29" s="11">
        <v>75143.04</v>
      </c>
      <c r="M29" s="11">
        <v>77230.36</v>
      </c>
      <c r="N29" s="11">
        <v>98277.59</v>
      </c>
      <c r="O29" s="11">
        <v>78395.53</v>
      </c>
    </row>
    <row r="30" spans="1:15" ht="12.75">
      <c r="A30" s="74"/>
      <c r="B30" s="75" t="s">
        <v>16</v>
      </c>
      <c r="C30" s="11">
        <f t="shared" si="0"/>
        <v>97252.92</v>
      </c>
      <c r="D30" s="11">
        <f>199.09+5874.93+903.09+15119.21</f>
        <v>22096.32</v>
      </c>
      <c r="E30" s="11">
        <f>5592.89+3743.1+3939.23</f>
        <v>13275.22</v>
      </c>
      <c r="F30" s="11">
        <f>6237.24+2835.04+537.75+221.02</f>
        <v>9831.05</v>
      </c>
      <c r="G30" s="11">
        <f>5531.29+2831.26+573.3+230.36</f>
        <v>9166.21</v>
      </c>
      <c r="H30" s="11">
        <f>4825.48+2936.58+135.99+493.23</f>
        <v>8391.279999999999</v>
      </c>
      <c r="I30" s="11">
        <f>3269.2+1495.54+193.26+264.63</f>
        <v>5222.63</v>
      </c>
      <c r="J30" s="11">
        <f>2444.23+1241.77+173.55+82.51</f>
        <v>3942.0600000000004</v>
      </c>
      <c r="K30" s="11">
        <f>2547.6+1322.84+121.38+339.06</f>
        <v>4330.88</v>
      </c>
      <c r="L30" s="11">
        <f>2571.78+1803.39+744.63+711.11</f>
        <v>5830.91</v>
      </c>
      <c r="M30" s="11">
        <v>5610.55</v>
      </c>
      <c r="N30" s="11">
        <f>2624.61+1494.46+309.83+525.41</f>
        <v>4954.3099999999995</v>
      </c>
      <c r="O30" s="11">
        <f>2952.42+1332.23+244.84+72.01</f>
        <v>4601.5</v>
      </c>
    </row>
    <row r="31" spans="1:15" s="64" customFormat="1" ht="12.75">
      <c r="A31" s="67">
        <v>9</v>
      </c>
      <c r="B31" s="78" t="s">
        <v>74</v>
      </c>
      <c r="C31" s="69">
        <f t="shared" si="0"/>
        <v>0</v>
      </c>
      <c r="D31" s="69">
        <f aca="true" t="shared" si="9" ref="D31:O31">SUM(D32:D34)</f>
        <v>0</v>
      </c>
      <c r="E31" s="69">
        <f t="shared" si="9"/>
        <v>0</v>
      </c>
      <c r="F31" s="69">
        <f t="shared" si="9"/>
        <v>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>
        <f t="shared" si="9"/>
        <v>0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9"/>
        <v>0</v>
      </c>
    </row>
    <row r="32" spans="1:15" ht="12.75">
      <c r="A32" s="74"/>
      <c r="B32" s="75" t="s">
        <v>14</v>
      </c>
      <c r="C32" s="11">
        <f aca="true" t="shared" si="10" ref="C32:C40">SUM(D32:O32)</f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74"/>
      <c r="B33" s="75" t="s">
        <v>15</v>
      </c>
      <c r="C33" s="11">
        <f t="shared" si="1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74"/>
      <c r="B34" s="75" t="s">
        <v>16</v>
      </c>
      <c r="C34" s="11">
        <f t="shared" si="10"/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64" customFormat="1" ht="12.75">
      <c r="A35" s="67">
        <v>10</v>
      </c>
      <c r="B35" s="78" t="s">
        <v>23</v>
      </c>
      <c r="C35" s="69">
        <f t="shared" si="10"/>
        <v>22727.16</v>
      </c>
      <c r="D35" s="69">
        <v>708.07</v>
      </c>
      <c r="E35" s="69">
        <v>797.02</v>
      </c>
      <c r="F35" s="69">
        <v>1366.44</v>
      </c>
      <c r="G35" s="69">
        <v>2666.23</v>
      </c>
      <c r="H35" s="69">
        <v>2553.38</v>
      </c>
      <c r="I35" s="69">
        <v>3111.29</v>
      </c>
      <c r="J35" s="69">
        <v>2483.26</v>
      </c>
      <c r="K35" s="69">
        <v>969.71</v>
      </c>
      <c r="L35" s="69">
        <v>2133.26</v>
      </c>
      <c r="M35" s="69">
        <v>1822.51</v>
      </c>
      <c r="N35" s="69">
        <v>1895.87</v>
      </c>
      <c r="O35" s="69">
        <v>2220.12</v>
      </c>
    </row>
    <row r="36" spans="1:15" s="64" customFormat="1" ht="12.75">
      <c r="A36" s="67">
        <v>11</v>
      </c>
      <c r="B36" s="78" t="s">
        <v>356</v>
      </c>
      <c r="C36" s="69">
        <f t="shared" si="10"/>
        <v>0</v>
      </c>
      <c r="D36" s="69">
        <f>SUM(D37:D38)</f>
        <v>0</v>
      </c>
      <c r="E36" s="69">
        <f aca="true" t="shared" si="11" ref="E36:O36">SUM(E37:E38)</f>
        <v>0</v>
      </c>
      <c r="F36" s="69">
        <f t="shared" si="11"/>
        <v>0</v>
      </c>
      <c r="G36" s="69">
        <f t="shared" si="11"/>
        <v>0</v>
      </c>
      <c r="H36" s="69">
        <f t="shared" si="11"/>
        <v>0</v>
      </c>
      <c r="I36" s="69">
        <f t="shared" si="11"/>
        <v>0</v>
      </c>
      <c r="J36" s="69">
        <f t="shared" si="11"/>
        <v>0</v>
      </c>
      <c r="K36" s="69">
        <f t="shared" si="11"/>
        <v>0</v>
      </c>
      <c r="L36" s="69">
        <f t="shared" si="11"/>
        <v>0</v>
      </c>
      <c r="M36" s="69">
        <f t="shared" si="11"/>
        <v>0</v>
      </c>
      <c r="N36" s="69">
        <f t="shared" si="11"/>
        <v>0</v>
      </c>
      <c r="O36" s="69">
        <f t="shared" si="11"/>
        <v>0</v>
      </c>
    </row>
    <row r="37" spans="1:15" ht="12.75">
      <c r="A37" s="74"/>
      <c r="B37" s="75" t="s">
        <v>14</v>
      </c>
      <c r="C37" s="11">
        <f t="shared" si="10"/>
        <v>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74"/>
      <c r="B38" s="75" t="s">
        <v>16</v>
      </c>
      <c r="C38" s="11">
        <f t="shared" si="10"/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7" s="64" customFormat="1" ht="25.5">
      <c r="A39" s="67">
        <v>12</v>
      </c>
      <c r="B39" s="72" t="s">
        <v>68</v>
      </c>
      <c r="C39" s="73">
        <f t="shared" si="10"/>
        <v>182500</v>
      </c>
      <c r="D39" s="69">
        <f>Провайдеры!D15</f>
        <v>14500</v>
      </c>
      <c r="E39" s="69">
        <f>Провайдеры!E15</f>
        <v>14500</v>
      </c>
      <c r="F39" s="69">
        <f>Провайдеры!F15</f>
        <v>14500</v>
      </c>
      <c r="G39" s="69">
        <f>Провайдеры!G15</f>
        <v>19000</v>
      </c>
      <c r="H39" s="69">
        <f>Провайдеры!H15</f>
        <v>15000</v>
      </c>
      <c r="I39" s="69">
        <f>Провайдеры!I15</f>
        <v>15000</v>
      </c>
      <c r="J39" s="69">
        <f>Провайдеры!J15</f>
        <v>15000</v>
      </c>
      <c r="K39" s="69">
        <f>Провайдеры!K15</f>
        <v>15000</v>
      </c>
      <c r="L39" s="69">
        <f>Провайдеры!L15</f>
        <v>15000</v>
      </c>
      <c r="M39" s="69">
        <f>Провайдеры!M15</f>
        <v>15000</v>
      </c>
      <c r="N39" s="69">
        <f>Провайдеры!N15</f>
        <v>15000</v>
      </c>
      <c r="O39" s="69">
        <f>Провайдеры!O15</f>
        <v>15000</v>
      </c>
      <c r="P39" s="60"/>
      <c r="Q39" s="60"/>
    </row>
    <row r="40" spans="1:15" s="64" customFormat="1" ht="12.75">
      <c r="A40" s="79">
        <v>13</v>
      </c>
      <c r="B40" s="80" t="s">
        <v>168</v>
      </c>
      <c r="C40" s="81">
        <f t="shared" si="10"/>
        <v>0</v>
      </c>
      <c r="D40" s="81"/>
      <c r="E40" s="81"/>
      <c r="F40" s="81"/>
      <c r="G40" s="69"/>
      <c r="H40" s="81"/>
      <c r="I40" s="81"/>
      <c r="J40" s="69"/>
      <c r="K40" s="81"/>
      <c r="L40" s="81"/>
      <c r="M40" s="81"/>
      <c r="N40" s="81"/>
      <c r="O40" s="69"/>
    </row>
    <row r="41" spans="1:18" s="65" customFormat="1" ht="12.75">
      <c r="A41" s="82"/>
      <c r="B41" s="82" t="s">
        <v>169</v>
      </c>
      <c r="C41" s="63">
        <f>SUMIF($A$3:$A$40,"&lt;&gt;",C3:C40)-C36</f>
        <v>8572143.899999999</v>
      </c>
      <c r="D41" s="63">
        <f aca="true" t="shared" si="12" ref="D41:O41">SUMIF($A$3:$A$40,"&lt;&gt;",D3:D40)-D36</f>
        <v>998120.09</v>
      </c>
      <c r="E41" s="63">
        <f>SUMIF($A$3:$A$40,"&lt;&gt;",E3:E40)-E36</f>
        <v>932451.1699999999</v>
      </c>
      <c r="F41" s="63">
        <f t="shared" si="12"/>
        <v>740912.46</v>
      </c>
      <c r="G41" s="63">
        <f t="shared" si="12"/>
        <v>689613.69</v>
      </c>
      <c r="H41" s="63">
        <f t="shared" si="12"/>
        <v>571912.0100000001</v>
      </c>
      <c r="I41" s="63">
        <f t="shared" si="12"/>
        <v>607426.87</v>
      </c>
      <c r="J41" s="63">
        <f t="shared" si="12"/>
        <v>548555.64</v>
      </c>
      <c r="K41" s="63">
        <f t="shared" si="12"/>
        <v>585843.2699999999</v>
      </c>
      <c r="L41" s="63">
        <f t="shared" si="12"/>
        <v>631651.7999999999</v>
      </c>
      <c r="M41" s="63">
        <f t="shared" si="12"/>
        <v>666915.9099999999</v>
      </c>
      <c r="N41" s="63">
        <f>SUMIF($A$3:$A$40,"&lt;&gt;",N3:N40)-N36</f>
        <v>784794.74</v>
      </c>
      <c r="O41" s="63">
        <f t="shared" si="12"/>
        <v>813946.2500000001</v>
      </c>
      <c r="P41" s="66"/>
      <c r="Q41" s="66"/>
      <c r="R41" s="66"/>
    </row>
    <row r="42" spans="1:15" s="65" customFormat="1" ht="12.75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25.5">
      <c r="A43" s="85" t="s">
        <v>0</v>
      </c>
      <c r="B43" s="85" t="s">
        <v>72</v>
      </c>
      <c r="C43" s="86" t="s">
        <v>1</v>
      </c>
      <c r="D43" s="86" t="s">
        <v>2</v>
      </c>
      <c r="E43" s="86" t="s">
        <v>3</v>
      </c>
      <c r="F43" s="86" t="s">
        <v>4</v>
      </c>
      <c r="G43" s="86" t="s">
        <v>5</v>
      </c>
      <c r="H43" s="86" t="s">
        <v>6</v>
      </c>
      <c r="I43" s="86" t="s">
        <v>7</v>
      </c>
      <c r="J43" s="86" t="s">
        <v>8</v>
      </c>
      <c r="K43" s="86" t="s">
        <v>9</v>
      </c>
      <c r="L43" s="86" t="s">
        <v>10</v>
      </c>
      <c r="M43" s="86" t="s">
        <v>11</v>
      </c>
      <c r="N43" s="86" t="s">
        <v>12</v>
      </c>
      <c r="O43" s="86" t="s">
        <v>13</v>
      </c>
    </row>
    <row r="44" spans="1:15" s="64" customFormat="1" ht="25.5">
      <c r="A44" s="67">
        <v>1</v>
      </c>
      <c r="B44" s="68" t="s">
        <v>59</v>
      </c>
      <c r="C44" s="69">
        <f>SUM(D44:O44)</f>
        <v>3015196.8200000003</v>
      </c>
      <c r="D44" s="69">
        <f>SUM(D45:D47)</f>
        <v>195898.07</v>
      </c>
      <c r="E44" s="69">
        <f aca="true" t="shared" si="13" ref="E44:N44">SUM(E45:E47)</f>
        <v>170475.55000000002</v>
      </c>
      <c r="F44" s="69">
        <f t="shared" si="13"/>
        <v>312348.91000000003</v>
      </c>
      <c r="G44" s="69">
        <f t="shared" si="13"/>
        <v>233677.97000000003</v>
      </c>
      <c r="H44" s="69">
        <f t="shared" si="13"/>
        <v>207876.96</v>
      </c>
      <c r="I44" s="69">
        <f t="shared" si="13"/>
        <v>303092.25</v>
      </c>
      <c r="J44" s="69">
        <f t="shared" si="13"/>
        <v>227986.07</v>
      </c>
      <c r="K44" s="69">
        <f t="shared" si="13"/>
        <v>229187.86000000002</v>
      </c>
      <c r="L44" s="69">
        <f t="shared" si="13"/>
        <v>304114.57999999996</v>
      </c>
      <c r="M44" s="69">
        <f t="shared" si="13"/>
        <v>236855.1</v>
      </c>
      <c r="N44" s="69">
        <f t="shared" si="13"/>
        <v>252713.5</v>
      </c>
      <c r="O44" s="69">
        <f>SUM(O45:O47)</f>
        <v>340970.00000000006</v>
      </c>
    </row>
    <row r="45" spans="1:17" ht="12.75">
      <c r="A45" s="74"/>
      <c r="B45" s="87" t="s">
        <v>14</v>
      </c>
      <c r="C45" s="69">
        <f>SUM(D45:O45)</f>
        <v>2554984.92</v>
      </c>
      <c r="D45" s="11">
        <v>166794.22</v>
      </c>
      <c r="E45" s="11">
        <v>141188.65</v>
      </c>
      <c r="F45" s="11">
        <v>270375.26</v>
      </c>
      <c r="G45" s="11">
        <v>184778.14</v>
      </c>
      <c r="H45" s="11">
        <v>174480.54</v>
      </c>
      <c r="I45" s="11">
        <v>258042.54</v>
      </c>
      <c r="J45" s="11">
        <v>192998.97</v>
      </c>
      <c r="K45" s="11">
        <v>197904.16</v>
      </c>
      <c r="L45" s="11">
        <v>264874</v>
      </c>
      <c r="M45" s="11">
        <v>182379.57</v>
      </c>
      <c r="N45" s="11">
        <v>223003.97</v>
      </c>
      <c r="O45" s="11">
        <v>298164.9</v>
      </c>
      <c r="Q45" s="10"/>
    </row>
    <row r="46" spans="1:17" ht="12.75">
      <c r="A46" s="74"/>
      <c r="B46" s="87" t="s">
        <v>15</v>
      </c>
      <c r="C46" s="69">
        <f aca="true" t="shared" si="14" ref="C46:C75">SUM(D46:O46)</f>
        <v>322084</v>
      </c>
      <c r="D46" s="11">
        <v>23207.65</v>
      </c>
      <c r="E46" s="11">
        <v>19545.95</v>
      </c>
      <c r="F46" s="11">
        <v>29402.32</v>
      </c>
      <c r="G46" s="11">
        <v>35882.72</v>
      </c>
      <c r="H46" s="11">
        <v>22248.74</v>
      </c>
      <c r="I46" s="11">
        <v>30744.16</v>
      </c>
      <c r="J46" s="11">
        <v>26443.53</v>
      </c>
      <c r="K46" s="11">
        <v>20497.17</v>
      </c>
      <c r="L46" s="11">
        <v>26127.98</v>
      </c>
      <c r="M46" s="11">
        <v>39953.9</v>
      </c>
      <c r="N46" s="11">
        <v>19515.74</v>
      </c>
      <c r="O46" s="11">
        <v>28514.14</v>
      </c>
      <c r="P46" s="10"/>
      <c r="Q46" s="10"/>
    </row>
    <row r="47" spans="1:17" ht="12.75">
      <c r="A47" s="76"/>
      <c r="B47" s="87" t="s">
        <v>16</v>
      </c>
      <c r="C47" s="69">
        <f t="shared" si="14"/>
        <v>138127.90000000002</v>
      </c>
      <c r="D47" s="11">
        <v>5896.2</v>
      </c>
      <c r="E47" s="11">
        <v>9740.95</v>
      </c>
      <c r="F47" s="11">
        <v>12571.33</v>
      </c>
      <c r="G47" s="11">
        <v>13017.11</v>
      </c>
      <c r="H47" s="11">
        <v>11147.68</v>
      </c>
      <c r="I47" s="11">
        <v>14305.55</v>
      </c>
      <c r="J47" s="11">
        <v>8543.57</v>
      </c>
      <c r="K47" s="11">
        <v>10786.53</v>
      </c>
      <c r="L47" s="11">
        <v>13112.6</v>
      </c>
      <c r="M47" s="11">
        <v>14521.63</v>
      </c>
      <c r="N47" s="11">
        <v>10193.79</v>
      </c>
      <c r="O47" s="11">
        <v>14290.96</v>
      </c>
      <c r="Q47" s="10"/>
    </row>
    <row r="48" spans="1:15" s="64" customFormat="1" ht="12.75">
      <c r="A48" s="67">
        <v>2</v>
      </c>
      <c r="B48" s="68" t="s">
        <v>60</v>
      </c>
      <c r="C48" s="69">
        <f t="shared" si="14"/>
        <v>514507.63</v>
      </c>
      <c r="D48" s="69">
        <f aca="true" t="shared" si="15" ref="D48:N48">SUM(D49:D51)</f>
        <v>24861.71</v>
      </c>
      <c r="E48" s="69">
        <f t="shared" si="15"/>
        <v>27447.73</v>
      </c>
      <c r="F48" s="69">
        <f t="shared" si="15"/>
        <v>52002.93</v>
      </c>
      <c r="G48" s="69">
        <f t="shared" si="15"/>
        <v>40852.46000000001</v>
      </c>
      <c r="H48" s="69">
        <f t="shared" si="15"/>
        <v>36640.399999999994</v>
      </c>
      <c r="I48" s="69">
        <f t="shared" si="15"/>
        <v>53262.74</v>
      </c>
      <c r="J48" s="69">
        <f t="shared" si="15"/>
        <v>39668.16</v>
      </c>
      <c r="K48" s="69">
        <f t="shared" si="15"/>
        <v>40199.149999999994</v>
      </c>
      <c r="L48" s="69">
        <f t="shared" si="15"/>
        <v>53566.259999999995</v>
      </c>
      <c r="M48" s="69">
        <f t="shared" si="15"/>
        <v>42316.24</v>
      </c>
      <c r="N48" s="69">
        <f t="shared" si="15"/>
        <v>44458.130000000005</v>
      </c>
      <c r="O48" s="69">
        <f>SUM(O49:O51)</f>
        <v>59231.72</v>
      </c>
    </row>
    <row r="49" spans="1:15" ht="12.75">
      <c r="A49" s="74"/>
      <c r="B49" s="87" t="s">
        <v>14</v>
      </c>
      <c r="C49" s="69">
        <f t="shared" si="14"/>
        <v>416862.81</v>
      </c>
      <c r="D49" s="11">
        <v>20220.39</v>
      </c>
      <c r="E49" s="11">
        <v>21561.77</v>
      </c>
      <c r="F49" s="11">
        <v>42958.33</v>
      </c>
      <c r="G49" s="11">
        <v>30569.25</v>
      </c>
      <c r="H49" s="11">
        <v>29254.09</v>
      </c>
      <c r="I49" s="11">
        <v>43412.69</v>
      </c>
      <c r="J49" s="11">
        <v>32375.81</v>
      </c>
      <c r="K49" s="11">
        <v>33224.22</v>
      </c>
      <c r="L49" s="11">
        <v>44868.56</v>
      </c>
      <c r="M49" s="11">
        <v>30839.69</v>
      </c>
      <c r="N49" s="11">
        <v>37797.15</v>
      </c>
      <c r="O49" s="11">
        <v>49780.86</v>
      </c>
    </row>
    <row r="50" spans="1:15" ht="12.75">
      <c r="A50" s="74"/>
      <c r="B50" s="87" t="s">
        <v>15</v>
      </c>
      <c r="C50" s="69">
        <f t="shared" si="14"/>
        <v>52967.58</v>
      </c>
      <c r="D50" s="11">
        <v>2869.55</v>
      </c>
      <c r="E50" s="11">
        <v>2753.96</v>
      </c>
      <c r="F50" s="11">
        <v>4983.43</v>
      </c>
      <c r="G50" s="11">
        <f>6081.8</f>
        <v>6081.8</v>
      </c>
      <c r="H50" s="11">
        <v>3770.97</v>
      </c>
      <c r="I50" s="11">
        <v>5210.84</v>
      </c>
      <c r="J50" s="11">
        <v>4481.96</v>
      </c>
      <c r="K50" s="11">
        <v>3474.09</v>
      </c>
      <c r="L50" s="11">
        <v>4428.46</v>
      </c>
      <c r="M50" s="11">
        <v>6771.86</v>
      </c>
      <c r="N50" s="11">
        <v>3307.75</v>
      </c>
      <c r="O50" s="11">
        <v>4832.91</v>
      </c>
    </row>
    <row r="51" spans="1:15" ht="12.75">
      <c r="A51" s="76"/>
      <c r="B51" s="87" t="s">
        <v>16</v>
      </c>
      <c r="C51" s="69">
        <f t="shared" si="14"/>
        <v>44677.240000000005</v>
      </c>
      <c r="D51" s="11">
        <v>1771.77</v>
      </c>
      <c r="E51" s="11">
        <v>3132</v>
      </c>
      <c r="F51" s="11">
        <v>4061.17</v>
      </c>
      <c r="G51" s="11">
        <v>4201.41</v>
      </c>
      <c r="H51" s="11">
        <v>3615.34</v>
      </c>
      <c r="I51" s="11">
        <v>4639.21</v>
      </c>
      <c r="J51" s="11">
        <v>2810.39</v>
      </c>
      <c r="K51" s="11">
        <v>3500.84</v>
      </c>
      <c r="L51" s="11">
        <v>4269.24</v>
      </c>
      <c r="M51" s="11">
        <v>4704.69</v>
      </c>
      <c r="N51" s="11">
        <v>3353.23</v>
      </c>
      <c r="O51" s="11">
        <v>4617.95</v>
      </c>
    </row>
    <row r="52" spans="1:15" s="64" customFormat="1" ht="12.75">
      <c r="A52" s="67">
        <v>3</v>
      </c>
      <c r="B52" s="88" t="s">
        <v>17</v>
      </c>
      <c r="C52" s="69">
        <f t="shared" si="14"/>
        <v>1025285.56</v>
      </c>
      <c r="D52" s="69">
        <f aca="true" t="shared" si="16" ref="D52:N52">SUM(D53:D55)</f>
        <v>137670.93</v>
      </c>
      <c r="E52" s="69">
        <f t="shared" si="16"/>
        <v>136844.41</v>
      </c>
      <c r="F52" s="69">
        <f t="shared" si="16"/>
        <v>245562.84</v>
      </c>
      <c r="G52" s="69">
        <f t="shared" si="16"/>
        <v>150086.99000000002</v>
      </c>
      <c r="H52" s="69">
        <f t="shared" si="16"/>
        <v>73519.34</v>
      </c>
      <c r="I52" s="69">
        <f t="shared" si="16"/>
        <v>54810.14</v>
      </c>
      <c r="J52" s="69">
        <f t="shared" si="16"/>
        <v>25521.66</v>
      </c>
      <c r="K52" s="69">
        <f t="shared" si="16"/>
        <v>16516.98</v>
      </c>
      <c r="L52" s="69">
        <f t="shared" si="16"/>
        <v>17144.270000000004</v>
      </c>
      <c r="M52" s="69">
        <f t="shared" si="16"/>
        <v>10607.009999999998</v>
      </c>
      <c r="N52" s="69">
        <f t="shared" si="16"/>
        <v>33423.299999999996</v>
      </c>
      <c r="O52" s="69">
        <f>SUM(O53:O55)</f>
        <v>123577.69000000002</v>
      </c>
    </row>
    <row r="53" spans="1:15" ht="12.75">
      <c r="A53" s="74"/>
      <c r="B53" s="87" t="s">
        <v>14</v>
      </c>
      <c r="C53" s="69">
        <f t="shared" si="14"/>
        <v>748847.87</v>
      </c>
      <c r="D53" s="11">
        <f>59435.55+6831.79+38851.09</f>
        <v>105118.43</v>
      </c>
      <c r="E53" s="11">
        <f>61163.26+10444.21+31333</f>
        <v>102940.47</v>
      </c>
      <c r="F53" s="11">
        <f>128529.32+16887.19+40756.24</f>
        <v>186172.75</v>
      </c>
      <c r="G53" s="11">
        <f>63332.86+15150.03+17702.93</f>
        <v>96185.82</v>
      </c>
      <c r="H53" s="11">
        <f>38691.62+8166.96+7941.53</f>
        <v>54800.11</v>
      </c>
      <c r="I53" s="11">
        <f>20074.58+16460.88+5260.2</f>
        <v>41795.66</v>
      </c>
      <c r="J53" s="11">
        <f>14485.94+7239.08+3099.08</f>
        <v>24824.1</v>
      </c>
      <c r="K53" s="11">
        <f>7885.6+1330.73+3594.5</f>
        <v>12810.83</v>
      </c>
      <c r="L53" s="11">
        <f>8510.12+3494.05+2275.04</f>
        <v>14279.210000000003</v>
      </c>
      <c r="M53" s="11">
        <f>2660.49+2036.45+651.83</f>
        <v>5348.7699999999995</v>
      </c>
      <c r="N53" s="11">
        <f>19718.5+170.63</f>
        <v>19889.13</v>
      </c>
      <c r="O53" s="11">
        <f>63366.29+596.07+3721.49+16998.74</f>
        <v>84682.59000000001</v>
      </c>
    </row>
    <row r="54" spans="1:15" ht="12.75">
      <c r="A54" s="74"/>
      <c r="B54" s="87" t="s">
        <v>15</v>
      </c>
      <c r="C54" s="69">
        <f t="shared" si="14"/>
        <v>163826.5</v>
      </c>
      <c r="D54" s="11">
        <f>20117.03+414.69</f>
        <v>20531.719999999998</v>
      </c>
      <c r="E54" s="11">
        <f>16443.04+2001.41</f>
        <v>18444.45</v>
      </c>
      <c r="F54" s="11">
        <f>32677.41+4851.16</f>
        <v>37528.57</v>
      </c>
      <c r="G54" s="11">
        <f>31303.51+3373.09</f>
        <v>34676.6</v>
      </c>
      <c r="H54" s="11">
        <f>11109.95+121.17</f>
        <v>11231.12</v>
      </c>
      <c r="I54" s="11">
        <f>7495.38</f>
        <v>7495.38</v>
      </c>
      <c r="J54" s="11"/>
      <c r="K54" s="11"/>
      <c r="L54" s="11">
        <f>1160.03+212.26</f>
        <v>1372.29</v>
      </c>
      <c r="M54" s="11"/>
      <c r="N54" s="11">
        <v>8882.72</v>
      </c>
      <c r="O54" s="11">
        <f>21061.88+2601.77</f>
        <v>23663.65</v>
      </c>
    </row>
    <row r="55" spans="1:15" ht="12.75">
      <c r="A55" s="74"/>
      <c r="B55" s="87" t="s">
        <v>16</v>
      </c>
      <c r="C55" s="69">
        <f t="shared" si="14"/>
        <v>112611.18999999999</v>
      </c>
      <c r="D55" s="11">
        <f>11973.05+47.73</f>
        <v>12020.779999999999</v>
      </c>
      <c r="E55" s="11">
        <f>13188.61+2270.88</f>
        <v>15459.490000000002</v>
      </c>
      <c r="F55" s="11">
        <f>18971.85+2889.67</f>
        <v>21861.519999999997</v>
      </c>
      <c r="G55" s="11">
        <f>17067.67+2156.9</f>
        <v>19224.57</v>
      </c>
      <c r="H55" s="11">
        <f>6756.62+731.49</f>
        <v>7488.11</v>
      </c>
      <c r="I55" s="11">
        <f>5053.69+465.41</f>
        <v>5519.099999999999</v>
      </c>
      <c r="J55" s="11">
        <f>622.64+74.92</f>
        <v>697.56</v>
      </c>
      <c r="K55" s="11">
        <f>3387.47+318.68</f>
        <v>3706.1499999999996</v>
      </c>
      <c r="L55" s="11">
        <f>1340.92+151.85</f>
        <v>1492.77</v>
      </c>
      <c r="M55" s="11">
        <f>4645.63+612.61</f>
        <v>5258.24</v>
      </c>
      <c r="N55" s="11">
        <f>3092.38+1559.07</f>
        <v>4651.45</v>
      </c>
      <c r="O55" s="11">
        <f>12314.24+2917.21</f>
        <v>15231.45</v>
      </c>
    </row>
    <row r="56" spans="1:15" s="64" customFormat="1" ht="12.75">
      <c r="A56" s="67">
        <v>4</v>
      </c>
      <c r="B56" s="88" t="s">
        <v>18</v>
      </c>
      <c r="C56" s="69">
        <f t="shared" si="14"/>
        <v>321760.98000000004</v>
      </c>
      <c r="D56" s="69">
        <f>SUM(D57:D58)</f>
        <v>14118.68</v>
      </c>
      <c r="E56" s="69">
        <f aca="true" t="shared" si="17" ref="E56:N56">SUM(E57:E58)</f>
        <v>18665.480000000003</v>
      </c>
      <c r="F56" s="69">
        <f t="shared" si="17"/>
        <v>36151.090000000004</v>
      </c>
      <c r="G56" s="69">
        <f t="shared" si="17"/>
        <v>29367.75</v>
      </c>
      <c r="H56" s="69">
        <f t="shared" si="17"/>
        <v>23768.8</v>
      </c>
      <c r="I56" s="69">
        <f t="shared" si="17"/>
        <v>27952.600000000002</v>
      </c>
      <c r="J56" s="69">
        <f t="shared" si="17"/>
        <v>26134.94</v>
      </c>
      <c r="K56" s="69">
        <f t="shared" si="17"/>
        <v>23916.690000000002</v>
      </c>
      <c r="L56" s="69">
        <f t="shared" si="17"/>
        <v>34883.54</v>
      </c>
      <c r="M56" s="69">
        <f t="shared" si="17"/>
        <v>25960.82</v>
      </c>
      <c r="N56" s="69">
        <f t="shared" si="17"/>
        <v>27387.010000000002</v>
      </c>
      <c r="O56" s="69">
        <f>SUM(O57:O58)</f>
        <v>33453.58</v>
      </c>
    </row>
    <row r="57" spans="1:15" ht="12.75">
      <c r="A57" s="74"/>
      <c r="B57" s="87" t="s">
        <v>14</v>
      </c>
      <c r="C57" s="69">
        <f t="shared" si="14"/>
        <v>289530.82</v>
      </c>
      <c r="D57" s="11">
        <f>1173.89+90.76+10903.17</f>
        <v>12167.82</v>
      </c>
      <c r="E57" s="11">
        <f>1079.22+1984.56+12531.12</f>
        <v>15594.900000000001</v>
      </c>
      <c r="F57" s="11">
        <f>1495.73+1881.97+31551.41</f>
        <v>34929.11</v>
      </c>
      <c r="G57" s="11">
        <f>2673.09+282.4+17728.78</f>
        <v>20684.27</v>
      </c>
      <c r="H57" s="11">
        <f>1393.89+304.57+20983.63</f>
        <v>22682.09</v>
      </c>
      <c r="I57" s="11">
        <f>2692.71+152.8+23567.97</f>
        <v>26413.480000000003</v>
      </c>
      <c r="J57" s="11">
        <f>2116.8+59.11+21645.42</f>
        <v>23821.329999999998</v>
      </c>
      <c r="K57" s="11">
        <f>363.72+49.66+22094.39</f>
        <v>22507.77</v>
      </c>
      <c r="L57" s="11">
        <f>1826.8+55.83+29510.98</f>
        <v>31393.61</v>
      </c>
      <c r="M57" s="11">
        <f>306.1+46.31+20543.64</f>
        <v>20896.05</v>
      </c>
      <c r="N57" s="11">
        <f>999.15+25446.97</f>
        <v>26446.120000000003</v>
      </c>
      <c r="O57" s="11">
        <f>2028.2+29.83+29936.24</f>
        <v>31994.27</v>
      </c>
    </row>
    <row r="58" spans="1:15" ht="12.75">
      <c r="A58" s="74"/>
      <c r="B58" s="87" t="s">
        <v>15</v>
      </c>
      <c r="C58" s="69">
        <f t="shared" si="14"/>
        <v>32230.160000000003</v>
      </c>
      <c r="D58" s="11">
        <f>1915.3+35.56</f>
        <v>1950.86</v>
      </c>
      <c r="E58" s="11">
        <f>2967.04+103.54</f>
        <v>3070.58</v>
      </c>
      <c r="F58" s="11">
        <f>921.09+300.89</f>
        <v>1221.98</v>
      </c>
      <c r="G58" s="11">
        <f>1727.92+6955.56</f>
        <v>8683.48</v>
      </c>
      <c r="H58" s="11">
        <f>919.54+167.17</f>
        <v>1086.71</v>
      </c>
      <c r="I58" s="11">
        <f>1432.01+107.11</f>
        <v>1539.12</v>
      </c>
      <c r="J58" s="11">
        <v>2313.61</v>
      </c>
      <c r="K58" s="11">
        <v>1408.92</v>
      </c>
      <c r="L58" s="11">
        <f>2411.91+1078.02</f>
        <v>3489.93</v>
      </c>
      <c r="M58" s="11">
        <f>5013.23+51.54</f>
        <v>5064.7699999999995</v>
      </c>
      <c r="N58" s="11">
        <f>930.36+10.53</f>
        <v>940.89</v>
      </c>
      <c r="O58" s="11">
        <f>1385.14+74.17</f>
        <v>1459.3100000000002</v>
      </c>
    </row>
    <row r="59" spans="1:15" s="64" customFormat="1" ht="12.75">
      <c r="A59" s="67">
        <v>5</v>
      </c>
      <c r="B59" s="88" t="s">
        <v>19</v>
      </c>
      <c r="C59" s="69">
        <f t="shared" si="14"/>
        <v>259788.02000000002</v>
      </c>
      <c r="D59" s="69">
        <f aca="true" t="shared" si="18" ref="D59:N59">SUM(D60:D61)</f>
        <v>13466.060000000001</v>
      </c>
      <c r="E59" s="69">
        <f t="shared" si="18"/>
        <v>17506.329999999998</v>
      </c>
      <c r="F59" s="69">
        <f t="shared" si="18"/>
        <v>32734.54</v>
      </c>
      <c r="G59" s="69">
        <f t="shared" si="18"/>
        <v>25229.590000000004</v>
      </c>
      <c r="H59" s="69">
        <f t="shared" si="18"/>
        <v>24217.05</v>
      </c>
      <c r="I59" s="69">
        <f t="shared" si="18"/>
        <v>25382.789999999997</v>
      </c>
      <c r="J59" s="69">
        <f t="shared" si="18"/>
        <v>20431.329999999998</v>
      </c>
      <c r="K59" s="69">
        <f t="shared" si="18"/>
        <v>16326.6</v>
      </c>
      <c r="L59" s="69">
        <f t="shared" si="18"/>
        <v>20087.57</v>
      </c>
      <c r="M59" s="69">
        <f t="shared" si="18"/>
        <v>16475.33</v>
      </c>
      <c r="N59" s="69">
        <f t="shared" si="18"/>
        <v>20324.83</v>
      </c>
      <c r="O59" s="69">
        <f>SUM(O60:O61)</f>
        <v>27606</v>
      </c>
    </row>
    <row r="60" spans="1:20" ht="12.75">
      <c r="A60" s="74"/>
      <c r="B60" s="87" t="s">
        <v>14</v>
      </c>
      <c r="C60" s="69">
        <f t="shared" si="14"/>
        <v>242585.83000000002</v>
      </c>
      <c r="D60" s="11">
        <f>11514.69+920.84+90.27</f>
        <v>12525.800000000001</v>
      </c>
      <c r="E60" s="11">
        <f>13609.05+850.4+1689.41</f>
        <v>16148.859999999999</v>
      </c>
      <c r="F60" s="11">
        <f>28414.02+1411.27+1433.67</f>
        <v>31258.96</v>
      </c>
      <c r="G60" s="11">
        <f>20252.38+1101.47+260.97</f>
        <v>21614.820000000003</v>
      </c>
      <c r="H60" s="11">
        <f>21871.46+1319.94+230.9</f>
        <v>23422.3</v>
      </c>
      <c r="I60" s="11">
        <f>21013.85+3406.3+141.18</f>
        <v>24561.329999999998</v>
      </c>
      <c r="J60" s="11">
        <f>17578.21+793.57+71.28</f>
        <v>18443.059999999998</v>
      </c>
      <c r="K60" s="11">
        <f>15336.35+597.58+35.95</f>
        <v>15969.880000000001</v>
      </c>
      <c r="L60" s="11">
        <f>15939.61+1933.45+50.68</f>
        <v>17923.74</v>
      </c>
      <c r="M60" s="11">
        <f>13699.96+471.67+1.53</f>
        <v>14173.16</v>
      </c>
      <c r="N60" s="11">
        <f>19226.81+525.2</f>
        <v>19752.010000000002</v>
      </c>
      <c r="O60" s="11">
        <f>24603.09+2171.87+16.95</f>
        <v>26791.91</v>
      </c>
      <c r="T60" s="10"/>
    </row>
    <row r="61" spans="1:15" ht="12.75">
      <c r="A61" s="74"/>
      <c r="B61" s="87" t="s">
        <v>15</v>
      </c>
      <c r="C61" s="69">
        <f t="shared" si="14"/>
        <v>17202.19</v>
      </c>
      <c r="D61" s="11">
        <v>940.26</v>
      </c>
      <c r="E61" s="11">
        <f>1357.47</f>
        <v>1357.47</v>
      </c>
      <c r="F61" s="11">
        <f>1337.23+138.35</f>
        <v>1475.58</v>
      </c>
      <c r="G61" s="11">
        <f>2441.79+1172.98</f>
        <v>3614.77</v>
      </c>
      <c r="H61" s="11">
        <f>642.07+152.68</f>
        <v>794.75</v>
      </c>
      <c r="I61" s="11">
        <f>763.78+57.68</f>
        <v>821.4599999999999</v>
      </c>
      <c r="J61" s="11">
        <v>1988.27</v>
      </c>
      <c r="K61" s="11">
        <v>356.72</v>
      </c>
      <c r="L61" s="11">
        <f>1401.46+762.37</f>
        <v>2163.83</v>
      </c>
      <c r="M61" s="11">
        <f>2276.55+25.62</f>
        <v>2302.17</v>
      </c>
      <c r="N61" s="11">
        <f>566.1+6.72</f>
        <v>572.82</v>
      </c>
      <c r="O61" s="11">
        <f>772.26+41.83</f>
        <v>814.09</v>
      </c>
    </row>
    <row r="62" spans="1:15" s="64" customFormat="1" ht="12.75">
      <c r="A62" s="67">
        <v>6</v>
      </c>
      <c r="B62" s="88" t="s">
        <v>20</v>
      </c>
      <c r="C62" s="69">
        <f t="shared" si="14"/>
        <v>527464.9200000002</v>
      </c>
      <c r="D62" s="69">
        <f aca="true" t="shared" si="19" ref="D62:N62">SUM(D63:D64)</f>
        <v>35572.549999999996</v>
      </c>
      <c r="E62" s="69">
        <f t="shared" si="19"/>
        <v>36192.590000000004</v>
      </c>
      <c r="F62" s="69">
        <f t="shared" si="19"/>
        <v>59079.47</v>
      </c>
      <c r="G62" s="69">
        <f t="shared" si="19"/>
        <v>46941.61000000001</v>
      </c>
      <c r="H62" s="69">
        <f t="shared" si="19"/>
        <v>43240.11</v>
      </c>
      <c r="I62" s="69">
        <f t="shared" si="19"/>
        <v>48297.64</v>
      </c>
      <c r="J62" s="69">
        <f t="shared" si="19"/>
        <v>49488.439999999995</v>
      </c>
      <c r="K62" s="69">
        <f t="shared" si="19"/>
        <v>37897.97000000001</v>
      </c>
      <c r="L62" s="69">
        <f t="shared" si="19"/>
        <v>40227.39000000001</v>
      </c>
      <c r="M62" s="69">
        <f t="shared" si="19"/>
        <v>33763.350000000006</v>
      </c>
      <c r="N62" s="69">
        <f t="shared" si="19"/>
        <v>41866.65</v>
      </c>
      <c r="O62" s="69">
        <f>SUM(O63:O64)</f>
        <v>54897.15</v>
      </c>
    </row>
    <row r="63" spans="1:15" ht="12.75">
      <c r="A63" s="74"/>
      <c r="B63" s="87" t="s">
        <v>14</v>
      </c>
      <c r="C63" s="69">
        <f t="shared" si="14"/>
        <v>496253.81000000006</v>
      </c>
      <c r="D63" s="11">
        <f>30938.51+1831.08</f>
        <v>32769.59</v>
      </c>
      <c r="E63" s="11">
        <f>30952.47+1311.09</f>
        <v>32263.56</v>
      </c>
      <c r="F63" s="11">
        <f>54339.95+2125.62</f>
        <v>56465.57</v>
      </c>
      <c r="G63" s="11">
        <f>40111.01+1857.66</f>
        <v>41968.670000000006</v>
      </c>
      <c r="H63" s="11">
        <f>39863.4+1852.2</f>
        <v>41715.6</v>
      </c>
      <c r="I63" s="11">
        <f>41311.19+5315.29</f>
        <v>46626.48</v>
      </c>
      <c r="J63" s="11">
        <f>44113.34+1330.17</f>
        <v>45443.509999999995</v>
      </c>
      <c r="K63" s="11">
        <f>36264.26+908.05</f>
        <v>37172.310000000005</v>
      </c>
      <c r="L63" s="11">
        <f>34426.12+2950.15</f>
        <v>37376.270000000004</v>
      </c>
      <c r="M63" s="11">
        <f>28412.11+716.81</f>
        <v>29128.920000000002</v>
      </c>
      <c r="N63" s="11">
        <f>40777.96+823.94</f>
        <v>41601.9</v>
      </c>
      <c r="O63" s="11">
        <f>50422.18+3299.25</f>
        <v>53721.43</v>
      </c>
    </row>
    <row r="64" spans="1:15" ht="12.75">
      <c r="A64" s="74"/>
      <c r="B64" s="87" t="s">
        <v>15</v>
      </c>
      <c r="C64" s="69">
        <f t="shared" si="14"/>
        <v>31211.11</v>
      </c>
      <c r="D64" s="11">
        <f>2802.38+0.58</f>
        <v>2802.96</v>
      </c>
      <c r="E64" s="11">
        <v>3929.03</v>
      </c>
      <c r="F64" s="11">
        <f>2613.9</f>
        <v>2613.9</v>
      </c>
      <c r="G64" s="11">
        <v>4972.94</v>
      </c>
      <c r="H64" s="11">
        <f>1306.23+218.28</f>
        <v>1524.51</v>
      </c>
      <c r="I64" s="11">
        <f>1553.8+117.36</f>
        <v>1671.1599999999999</v>
      </c>
      <c r="J64" s="11">
        <v>4044.93</v>
      </c>
      <c r="K64" s="11">
        <v>725.66</v>
      </c>
      <c r="L64" s="11">
        <v>2851.12</v>
      </c>
      <c r="M64" s="11">
        <f>4631.51+2.92</f>
        <v>4634.43</v>
      </c>
      <c r="N64" s="11">
        <f>264.01+0.74</f>
        <v>264.75</v>
      </c>
      <c r="O64" s="11">
        <f>1169.22+6.5</f>
        <v>1175.72</v>
      </c>
    </row>
    <row r="65" spans="1:15" s="64" customFormat="1" ht="12.75">
      <c r="A65" s="67">
        <v>7</v>
      </c>
      <c r="B65" s="88" t="s">
        <v>21</v>
      </c>
      <c r="C65" s="69">
        <f t="shared" si="14"/>
        <v>294737.92</v>
      </c>
      <c r="D65" s="69">
        <f>SUM(D66:D67)</f>
        <v>12166.45</v>
      </c>
      <c r="E65" s="69">
        <f aca="true" t="shared" si="20" ref="E65:N65">SUM(E66:E67)</f>
        <v>17462.53</v>
      </c>
      <c r="F65" s="69">
        <f t="shared" si="20"/>
        <v>34477.92</v>
      </c>
      <c r="G65" s="69">
        <f t="shared" si="20"/>
        <v>28135.17</v>
      </c>
      <c r="H65" s="69">
        <f t="shared" si="20"/>
        <v>24607.479999999996</v>
      </c>
      <c r="I65" s="69">
        <f t="shared" si="20"/>
        <v>27022.48</v>
      </c>
      <c r="J65" s="69">
        <f t="shared" si="20"/>
        <v>24021.020000000004</v>
      </c>
      <c r="K65" s="69">
        <f t="shared" si="20"/>
        <v>20640.240000000005</v>
      </c>
      <c r="L65" s="69">
        <f t="shared" si="20"/>
        <v>28111</v>
      </c>
      <c r="M65" s="69">
        <f t="shared" si="20"/>
        <v>21903.410000000003</v>
      </c>
      <c r="N65" s="69">
        <f t="shared" si="20"/>
        <v>24624.77</v>
      </c>
      <c r="O65" s="69">
        <f>SUM(O66:O67)</f>
        <v>31565.45</v>
      </c>
    </row>
    <row r="66" spans="1:15" ht="12.75">
      <c r="A66" s="74"/>
      <c r="B66" s="87" t="s">
        <v>14</v>
      </c>
      <c r="C66" s="69">
        <f t="shared" si="14"/>
        <v>269806.8</v>
      </c>
      <c r="D66" s="11">
        <f>9868+953.24+79.94</f>
        <v>10901.18</v>
      </c>
      <c r="E66" s="11">
        <f>12749.23+1126.87+1622.59</f>
        <v>15498.689999999999</v>
      </c>
      <c r="F66" s="11">
        <f>30219.75+1419.68+1464.28</f>
        <v>33103.71</v>
      </c>
      <c r="G66" s="11">
        <f>19319.46+2228.89+239.96</f>
        <v>21788.309999999998</v>
      </c>
      <c r="H66" s="11">
        <f>22039.35+1379.78+236.46</f>
        <v>23655.589999999997</v>
      </c>
      <c r="I66" s="11">
        <f>23147+2527+129.84</f>
        <v>25803.84</v>
      </c>
      <c r="J66" s="11">
        <f>19772.49+1970.13+57.57</f>
        <v>21800.190000000002</v>
      </c>
      <c r="K66" s="11">
        <f>19345.36+345.58+37.81</f>
        <v>19728.750000000004</v>
      </c>
      <c r="L66" s="11">
        <f>23475.82+1669.42+47.04</f>
        <v>25192.28</v>
      </c>
      <c r="M66" s="11">
        <f>17788.31+290.74+21.13</f>
        <v>18100.180000000004</v>
      </c>
      <c r="N66" s="11">
        <f>22894.19+949.04</f>
        <v>23843.23</v>
      </c>
      <c r="O66" s="11">
        <f>28500.2+1869.99+20.66</f>
        <v>30390.850000000002</v>
      </c>
    </row>
    <row r="67" spans="1:15" ht="12.75">
      <c r="A67" s="74"/>
      <c r="B67" s="87" t="s">
        <v>15</v>
      </c>
      <c r="C67" s="69">
        <f t="shared" si="14"/>
        <v>24931.12</v>
      </c>
      <c r="D67" s="11">
        <f>1249.74+15.53</f>
        <v>1265.27</v>
      </c>
      <c r="E67" s="11">
        <f>1918.62+45.22</f>
        <v>1963.84</v>
      </c>
      <c r="F67" s="11">
        <f>1165.86+208.35</f>
        <v>1374.2099999999998</v>
      </c>
      <c r="G67" s="11">
        <f>4851.43+1495.43</f>
        <v>6346.860000000001</v>
      </c>
      <c r="H67" s="11">
        <f>806.17+145.72</f>
        <v>951.89</v>
      </c>
      <c r="I67" s="11">
        <f>1133.55+85.09</f>
        <v>1218.6399999999999</v>
      </c>
      <c r="J67" s="11">
        <v>2220.83</v>
      </c>
      <c r="K67" s="11">
        <v>911.49</v>
      </c>
      <c r="L67" s="11">
        <f>1968.62+950.1</f>
        <v>2918.72</v>
      </c>
      <c r="M67" s="11">
        <f>3763.39+39.84</f>
        <v>3803.23</v>
      </c>
      <c r="N67" s="11">
        <f>772.64+8.9</f>
        <v>781.54</v>
      </c>
      <c r="O67" s="11">
        <f>1113.79+60.81</f>
        <v>1174.6</v>
      </c>
    </row>
    <row r="68" spans="1:17" s="64" customFormat="1" ht="12.75">
      <c r="A68" s="67">
        <v>8</v>
      </c>
      <c r="B68" s="88" t="s">
        <v>22</v>
      </c>
      <c r="C68" s="69">
        <f t="shared" si="14"/>
        <v>2110035.1900000004</v>
      </c>
      <c r="D68" s="69">
        <f aca="true" t="shared" si="21" ref="D68:N68">SUM(D69:D71)</f>
        <v>147258.07</v>
      </c>
      <c r="E68" s="69">
        <f t="shared" si="21"/>
        <v>188555.83000000002</v>
      </c>
      <c r="F68" s="69">
        <f t="shared" si="21"/>
        <v>270056.07</v>
      </c>
      <c r="G68" s="69">
        <f t="shared" si="21"/>
        <v>185111.83</v>
      </c>
      <c r="H68" s="69">
        <f t="shared" si="21"/>
        <v>136377.59</v>
      </c>
      <c r="I68" s="69">
        <f t="shared" si="21"/>
        <v>178418.80000000002</v>
      </c>
      <c r="J68" s="69">
        <f t="shared" si="21"/>
        <v>138511.98</v>
      </c>
      <c r="K68" s="69">
        <f t="shared" si="21"/>
        <v>128427.6</v>
      </c>
      <c r="L68" s="69">
        <f t="shared" si="21"/>
        <v>176914.6</v>
      </c>
      <c r="M68" s="69">
        <f t="shared" si="21"/>
        <v>180015.18999999997</v>
      </c>
      <c r="N68" s="69">
        <f t="shared" si="21"/>
        <v>159743.87</v>
      </c>
      <c r="O68" s="69">
        <f>SUM(O69:O71)</f>
        <v>220643.76</v>
      </c>
      <c r="P68" s="60"/>
      <c r="Q68" s="60"/>
    </row>
    <row r="69" spans="1:15" ht="12.75">
      <c r="A69" s="74"/>
      <c r="B69" s="87" t="s">
        <v>14</v>
      </c>
      <c r="C69" s="69">
        <f t="shared" si="14"/>
        <v>1035126.7000000001</v>
      </c>
      <c r="D69" s="11">
        <f>53679.79+1315.06</f>
        <v>54994.85</v>
      </c>
      <c r="E69" s="11">
        <f>45137.79+51260.29</f>
        <v>96398.08</v>
      </c>
      <c r="F69" s="11">
        <f>113741.81+45952.38</f>
        <v>159694.19</v>
      </c>
      <c r="G69" s="11">
        <f>63615.49+5968.65</f>
        <v>69584.14</v>
      </c>
      <c r="H69" s="11">
        <f>66241.35+10830.93</f>
        <v>77072.28</v>
      </c>
      <c r="I69" s="11">
        <f>81839.4+5668.88</f>
        <v>87508.28</v>
      </c>
      <c r="J69" s="11">
        <f>62170.43+2245.53</f>
        <v>64415.96</v>
      </c>
      <c r="K69" s="11">
        <f>57506.42+2115.58</f>
        <v>59622</v>
      </c>
      <c r="L69" s="11">
        <f>74999.92+6556.95</f>
        <v>81556.87</v>
      </c>
      <c r="M69" s="11">
        <f>68286.92+5395</f>
        <v>73681.92</v>
      </c>
      <c r="N69" s="11">
        <f>88466.1+1117.54</f>
        <v>89583.64</v>
      </c>
      <c r="O69" s="11">
        <f>116541.3+4473.19</f>
        <v>121014.49</v>
      </c>
    </row>
    <row r="70" spans="1:15" ht="12.75">
      <c r="A70" s="74"/>
      <c r="B70" s="87" t="s">
        <v>15</v>
      </c>
      <c r="C70" s="69">
        <f t="shared" si="14"/>
        <v>971116.5399999999</v>
      </c>
      <c r="D70" s="11">
        <f>48761.88+38842.72+578.23+311.29+442.88</f>
        <v>88937</v>
      </c>
      <c r="E70" s="11">
        <f>44546.76+34825.46+2756.67</f>
        <v>82128.89</v>
      </c>
      <c r="F70" s="11">
        <f>50768.92+33793.53+2094.51+1314.43+3592.61+2533.41+36.27+83.3</f>
        <v>94216.98</v>
      </c>
      <c r="G70" s="11">
        <f>51198.25+40102.52+3140.82+2817.89+3019.91+1522.51</f>
        <v>101801.9</v>
      </c>
      <c r="H70" s="11">
        <f>19126.39+20398.97+2890.09+3092.54+3693.31+205.83</f>
        <v>49407.13</v>
      </c>
      <c r="I70" s="11">
        <f>33728.98+37810.83+1585.42+1792.02+4431.65+261.77</f>
        <v>79610.67</v>
      </c>
      <c r="J70" s="11">
        <f>26932.5+33549.21+2903.82+3698.34+1675.61+366.16</f>
        <v>69125.64</v>
      </c>
      <c r="K70" s="11">
        <f>31536.28+24689.45+2645.02+2654.86+793.7+141.41</f>
        <v>62460.719999999994</v>
      </c>
      <c r="L70" s="11">
        <f>56209.54+24187.15+8087.73+590.58</f>
        <v>89075</v>
      </c>
      <c r="M70" s="11">
        <f>74412.64+6729.54+8067.89+6794.96+982.53</f>
        <v>96987.56</v>
      </c>
      <c r="N70" s="11">
        <f>34420.8+10841.41+6586.23+8059.31+4151.16+188.93</f>
        <v>64247.840000000004</v>
      </c>
      <c r="O70" s="11">
        <f>42198.85+32091.87+11938.75+1814.32+4404.9+668.52</f>
        <v>93117.21</v>
      </c>
    </row>
    <row r="71" spans="1:15" ht="12.75">
      <c r="A71" s="74"/>
      <c r="B71" s="87" t="s">
        <v>16</v>
      </c>
      <c r="C71" s="69">
        <f t="shared" si="14"/>
        <v>103791.95000000001</v>
      </c>
      <c r="D71" s="11">
        <f>644.82+2534.35+8.28+138.77</f>
        <v>3326.2200000000003</v>
      </c>
      <c r="E71" s="11">
        <f>1888.83+3260.83+387.52+4491.68</f>
        <v>10028.86</v>
      </c>
      <c r="F71" s="11">
        <f>3944.29+4804.83+366.24+7029.54</f>
        <v>16144.899999999998</v>
      </c>
      <c r="G71" s="11">
        <f>5366.13+4310.2+399.37+3650.09</f>
        <v>13725.79</v>
      </c>
      <c r="H71" s="11">
        <f>5331.37+3072.17+439.88+1054.76</f>
        <v>9898.18</v>
      </c>
      <c r="I71" s="11">
        <f>6255.57+3715.61+303.03+1025.64</f>
        <v>11299.85</v>
      </c>
      <c r="J71" s="11">
        <f>3010.58+1527.29+170.33+262.18</f>
        <v>4970.38</v>
      </c>
      <c r="K71" s="11">
        <f>2031.46+199.2+775.28+3338.94</f>
        <v>6344.879999999999</v>
      </c>
      <c r="L71" s="11">
        <f>3644.71+1932.97+201.51+503.54</f>
        <v>6282.7300000000005</v>
      </c>
      <c r="M71" s="11">
        <f>4483.81+2972.83+522.81+1366.26</f>
        <v>9345.710000000001</v>
      </c>
      <c r="N71" s="11">
        <f>3277.65+1597.33+407.61+629.8</f>
        <v>5912.389999999999</v>
      </c>
      <c r="O71" s="11">
        <f>3711.98+1843.62+448.84+507.62</f>
        <v>6512.06</v>
      </c>
    </row>
    <row r="72" spans="1:15" s="64" customFormat="1" ht="12.75">
      <c r="A72" s="67">
        <v>9</v>
      </c>
      <c r="B72" s="88" t="s">
        <v>74</v>
      </c>
      <c r="C72" s="69">
        <f t="shared" si="14"/>
        <v>-4372.61</v>
      </c>
      <c r="D72" s="69">
        <f aca="true" t="shared" si="22" ref="D72:O72">SUM(D73:D75)</f>
        <v>0</v>
      </c>
      <c r="E72" s="69">
        <f t="shared" si="22"/>
        <v>0</v>
      </c>
      <c r="F72" s="69">
        <f t="shared" si="22"/>
        <v>-4372.61</v>
      </c>
      <c r="G72" s="69">
        <f t="shared" si="22"/>
        <v>0</v>
      </c>
      <c r="H72" s="69">
        <f t="shared" si="22"/>
        <v>0</v>
      </c>
      <c r="I72" s="69">
        <f t="shared" si="22"/>
        <v>0</v>
      </c>
      <c r="J72" s="69">
        <f t="shared" si="22"/>
        <v>0</v>
      </c>
      <c r="K72" s="69">
        <f t="shared" si="22"/>
        <v>0</v>
      </c>
      <c r="L72" s="69">
        <f t="shared" si="22"/>
        <v>0</v>
      </c>
      <c r="M72" s="69">
        <f t="shared" si="22"/>
        <v>0</v>
      </c>
      <c r="N72" s="69">
        <f t="shared" si="22"/>
        <v>0</v>
      </c>
      <c r="O72" s="69">
        <f t="shared" si="22"/>
        <v>0</v>
      </c>
    </row>
    <row r="73" spans="1:15" ht="12.75">
      <c r="A73" s="74"/>
      <c r="B73" s="87" t="s">
        <v>14</v>
      </c>
      <c r="C73" s="69">
        <f t="shared" si="14"/>
        <v>-4372.61</v>
      </c>
      <c r="D73" s="11">
        <v>0</v>
      </c>
      <c r="E73" s="11"/>
      <c r="F73" s="11">
        <v>-4372.61</v>
      </c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74"/>
      <c r="B74" s="87" t="s">
        <v>15</v>
      </c>
      <c r="C74" s="69">
        <f t="shared" si="14"/>
        <v>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74"/>
      <c r="B75" s="87" t="s">
        <v>16</v>
      </c>
      <c r="C75" s="69">
        <f t="shared" si="14"/>
        <v>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s="64" customFormat="1" ht="12.75">
      <c r="A76" s="67">
        <v>10</v>
      </c>
      <c r="B76" s="88" t="s">
        <v>23</v>
      </c>
      <c r="C76" s="69">
        <f aca="true" t="shared" si="23" ref="C76:C82">SUM(D76:O76)</f>
        <v>19756.07</v>
      </c>
      <c r="D76" s="69">
        <v>516.03</v>
      </c>
      <c r="E76" s="69">
        <v>118.08</v>
      </c>
      <c r="F76" s="69">
        <v>1672.44</v>
      </c>
      <c r="G76" s="69">
        <v>1017.34</v>
      </c>
      <c r="H76" s="69">
        <v>652.63</v>
      </c>
      <c r="I76" s="69">
        <v>1183.67</v>
      </c>
      <c r="J76" s="69">
        <v>1423.05</v>
      </c>
      <c r="K76" s="69">
        <v>1101.21</v>
      </c>
      <c r="L76" s="69">
        <v>1966</v>
      </c>
      <c r="M76" s="69">
        <v>1023.58</v>
      </c>
      <c r="N76" s="69">
        <v>2418.68</v>
      </c>
      <c r="O76" s="69">
        <v>6663.36</v>
      </c>
    </row>
    <row r="77" spans="1:15" s="64" customFormat="1" ht="12.75">
      <c r="A77" s="67">
        <v>11</v>
      </c>
      <c r="B77" s="88" t="s">
        <v>356</v>
      </c>
      <c r="C77" s="69">
        <f t="shared" si="23"/>
        <v>605.3699999999999</v>
      </c>
      <c r="D77" s="69">
        <f aca="true" t="shared" si="24" ref="D77:O77">SUM(D78:D79)</f>
        <v>31.65</v>
      </c>
      <c r="E77" s="69">
        <f t="shared" si="24"/>
        <v>16.43</v>
      </c>
      <c r="F77" s="69">
        <f t="shared" si="24"/>
        <v>134.97</v>
      </c>
      <c r="G77" s="69">
        <f t="shared" si="24"/>
        <v>63.63</v>
      </c>
      <c r="H77" s="69">
        <f>SUM(H78:H79)</f>
        <v>26.57</v>
      </c>
      <c r="I77" s="69">
        <f t="shared" si="24"/>
        <v>31.57</v>
      </c>
      <c r="J77" s="69">
        <f t="shared" si="24"/>
        <v>0</v>
      </c>
      <c r="K77" s="69">
        <f t="shared" si="24"/>
        <v>30.549999999999997</v>
      </c>
      <c r="L77" s="69">
        <f t="shared" si="24"/>
        <v>31.15</v>
      </c>
      <c r="M77" s="69">
        <f t="shared" si="24"/>
        <v>34.91</v>
      </c>
      <c r="N77" s="69">
        <f t="shared" si="24"/>
        <v>0</v>
      </c>
      <c r="O77" s="69">
        <f t="shared" si="24"/>
        <v>203.94</v>
      </c>
    </row>
    <row r="78" spans="1:15" ht="12.75">
      <c r="A78" s="74"/>
      <c r="B78" s="87" t="s">
        <v>14</v>
      </c>
      <c r="C78" s="11">
        <f t="shared" si="23"/>
        <v>396.17</v>
      </c>
      <c r="D78" s="11">
        <v>24.33</v>
      </c>
      <c r="E78" s="11">
        <v>8.6</v>
      </c>
      <c r="F78" s="11">
        <v>107.32</v>
      </c>
      <c r="G78" s="11">
        <v>40.99</v>
      </c>
      <c r="H78" s="11"/>
      <c r="I78" s="11"/>
      <c r="J78" s="11"/>
      <c r="K78" s="11">
        <v>10.99</v>
      </c>
      <c r="L78" s="11"/>
      <c r="M78" s="11"/>
      <c r="N78" s="11"/>
      <c r="O78" s="11">
        <v>203.94</v>
      </c>
    </row>
    <row r="79" spans="1:15" ht="12.75">
      <c r="A79" s="74"/>
      <c r="B79" s="87" t="s">
        <v>16</v>
      </c>
      <c r="C79" s="11">
        <f t="shared" si="23"/>
        <v>209.2</v>
      </c>
      <c r="D79" s="11">
        <v>7.32</v>
      </c>
      <c r="E79" s="11">
        <v>7.83</v>
      </c>
      <c r="F79" s="11">
        <v>27.65</v>
      </c>
      <c r="G79" s="11">
        <v>22.64</v>
      </c>
      <c r="H79" s="11">
        <v>26.57</v>
      </c>
      <c r="I79" s="11">
        <v>31.57</v>
      </c>
      <c r="J79" s="11"/>
      <c r="K79" s="11">
        <v>19.56</v>
      </c>
      <c r="L79" s="11">
        <v>31.15</v>
      </c>
      <c r="M79" s="11">
        <v>34.91</v>
      </c>
      <c r="N79" s="11"/>
      <c r="O79" s="11"/>
    </row>
    <row r="80" spans="1:15" s="64" customFormat="1" ht="25.5">
      <c r="A80" s="67">
        <v>12</v>
      </c>
      <c r="B80" s="68" t="s">
        <v>68</v>
      </c>
      <c r="C80" s="69">
        <f t="shared" si="23"/>
        <v>240500</v>
      </c>
      <c r="D80" s="69">
        <f>Провайдеры!D32</f>
        <v>9000</v>
      </c>
      <c r="E80" s="69">
        <f>Провайдеры!E32</f>
        <v>30000</v>
      </c>
      <c r="F80" s="69">
        <f>Провайдеры!F32</f>
        <v>11000</v>
      </c>
      <c r="G80" s="69">
        <f>Провайдеры!G32</f>
        <v>28000</v>
      </c>
      <c r="H80" s="69">
        <f>Провайдеры!H32</f>
        <v>15500</v>
      </c>
      <c r="I80" s="69">
        <f>Провайдеры!I32+34000</f>
        <v>42500</v>
      </c>
      <c r="J80" s="69">
        <f>Провайдеры!J32</f>
        <v>16500</v>
      </c>
      <c r="K80" s="69">
        <f>Провайдеры!K32</f>
        <v>17500</v>
      </c>
      <c r="L80" s="69">
        <f>Провайдеры!L32</f>
        <v>27500</v>
      </c>
      <c r="M80" s="69">
        <f>Провайдеры!M32</f>
        <v>9500</v>
      </c>
      <c r="N80" s="69">
        <f>Провайдеры!N32</f>
        <v>20500</v>
      </c>
      <c r="O80" s="69">
        <f>Провайдеры!O32</f>
        <v>13000</v>
      </c>
    </row>
    <row r="81" spans="1:15" s="64" customFormat="1" ht="12.75">
      <c r="A81" s="67">
        <v>13</v>
      </c>
      <c r="B81" s="88" t="s">
        <v>355</v>
      </c>
      <c r="C81" s="69">
        <f t="shared" si="23"/>
        <v>12936.82</v>
      </c>
      <c r="D81" s="69"/>
      <c r="E81" s="69">
        <v>3536.82</v>
      </c>
      <c r="F81" s="69"/>
      <c r="G81" s="69"/>
      <c r="H81" s="69"/>
      <c r="I81" s="69"/>
      <c r="J81" s="69"/>
      <c r="K81" s="69">
        <v>1600</v>
      </c>
      <c r="L81" s="69">
        <v>1000</v>
      </c>
      <c r="M81" s="69">
        <v>-100</v>
      </c>
      <c r="N81" s="69">
        <v>7000</v>
      </c>
      <c r="O81" s="69">
        <f>-100</f>
        <v>-100</v>
      </c>
    </row>
    <row r="82" spans="1:15" s="64" customFormat="1" ht="12.75">
      <c r="A82" s="61">
        <v>14</v>
      </c>
      <c r="B82" s="62" t="s">
        <v>357</v>
      </c>
      <c r="C82" s="69">
        <f t="shared" si="23"/>
        <v>4642.4</v>
      </c>
      <c r="D82" s="63"/>
      <c r="E82" s="63"/>
      <c r="F82" s="63"/>
      <c r="G82" s="63"/>
      <c r="H82" s="63"/>
      <c r="I82" s="63"/>
      <c r="J82" s="63"/>
      <c r="K82" s="63">
        <v>1700</v>
      </c>
      <c r="L82" s="63"/>
      <c r="M82" s="63"/>
      <c r="N82" s="63"/>
      <c r="O82" s="63">
        <v>2942.4</v>
      </c>
    </row>
    <row r="83" spans="1:17" s="64" customFormat="1" ht="12.75">
      <c r="A83" s="61"/>
      <c r="B83" s="62" t="s">
        <v>169</v>
      </c>
      <c r="C83" s="63">
        <f>SUMIF($A$44:$A$82,"&lt;&gt;",C44:C82)</f>
        <v>8342845.090000001</v>
      </c>
      <c r="D83" s="63">
        <f aca="true" t="shared" si="25" ref="D83:O83">SUMIF($A$44:$A$82,"&lt;&gt;",D44:D82)</f>
        <v>590560.2000000001</v>
      </c>
      <c r="E83" s="63">
        <f t="shared" si="25"/>
        <v>646821.7800000001</v>
      </c>
      <c r="F83" s="63">
        <f t="shared" si="25"/>
        <v>1050848.5699999998</v>
      </c>
      <c r="G83" s="63">
        <f t="shared" si="25"/>
        <v>768484.3400000001</v>
      </c>
      <c r="H83" s="63">
        <f t="shared" si="25"/>
        <v>586426.9299999998</v>
      </c>
      <c r="I83" s="63">
        <f t="shared" si="25"/>
        <v>761954.68</v>
      </c>
      <c r="J83" s="63">
        <f t="shared" si="25"/>
        <v>569686.65</v>
      </c>
      <c r="K83" s="63">
        <f t="shared" si="25"/>
        <v>535044.85</v>
      </c>
      <c r="L83" s="63">
        <f t="shared" si="25"/>
        <v>705546.36</v>
      </c>
      <c r="M83" s="63">
        <f t="shared" si="25"/>
        <v>578354.9400000001</v>
      </c>
      <c r="N83" s="63">
        <f t="shared" si="25"/>
        <v>634460.7400000001</v>
      </c>
      <c r="O83" s="63">
        <f t="shared" si="25"/>
        <v>914655.05</v>
      </c>
      <c r="P83" s="60"/>
      <c r="Q83" s="60"/>
    </row>
    <row r="84" spans="1:15" s="64" customFormat="1" ht="12.75">
      <c r="A84" s="61"/>
      <c r="B84" s="123" t="s">
        <v>349</v>
      </c>
      <c r="C84" s="66"/>
      <c r="D84" s="124">
        <f>D85-D83</f>
        <v>0</v>
      </c>
      <c r="E84" s="124">
        <f>E85-E83</f>
        <v>0</v>
      </c>
      <c r="F84" s="124">
        <f>F85-F83</f>
        <v>0</v>
      </c>
      <c r="G84" s="124">
        <f>G85-G83</f>
        <v>0</v>
      </c>
      <c r="H84" s="124">
        <f>H85-H83</f>
        <v>0</v>
      </c>
      <c r="I84" s="124">
        <f aca="true" t="shared" si="26" ref="I84:O84">I85-I83</f>
        <v>0</v>
      </c>
      <c r="J84" s="124">
        <f t="shared" si="26"/>
        <v>0</v>
      </c>
      <c r="K84" s="124">
        <f t="shared" si="26"/>
        <v>0</v>
      </c>
      <c r="L84" s="124">
        <f t="shared" si="26"/>
        <v>0</v>
      </c>
      <c r="M84" s="124">
        <f t="shared" si="26"/>
        <v>0</v>
      </c>
      <c r="N84" s="124">
        <f t="shared" si="26"/>
        <v>0</v>
      </c>
      <c r="O84" s="124">
        <f t="shared" si="26"/>
        <v>0</v>
      </c>
    </row>
    <row r="85" spans="1:15" s="64" customFormat="1" ht="12.75">
      <c r="A85" s="61"/>
      <c r="B85" s="122" t="s">
        <v>351</v>
      </c>
      <c r="C85" s="10"/>
      <c r="D85" s="66">
        <f>430064.83+137239.01+23256.36</f>
        <v>590560.2000000001</v>
      </c>
      <c r="E85" s="66">
        <v>646821.78</v>
      </c>
      <c r="F85" s="66">
        <v>1050848.57</v>
      </c>
      <c r="G85" s="66">
        <v>768484.34</v>
      </c>
      <c r="H85" s="66">
        <v>586426.93</v>
      </c>
      <c r="I85" s="66">
        <v>761954.68</v>
      </c>
      <c r="J85" s="66">
        <v>569686.65</v>
      </c>
      <c r="K85" s="66">
        <v>535044.85</v>
      </c>
      <c r="L85" s="66">
        <v>705546.36</v>
      </c>
      <c r="M85" s="66">
        <v>578354.94</v>
      </c>
      <c r="N85" s="66">
        <v>634460.74</v>
      </c>
      <c r="O85" s="66">
        <v>914655.05</v>
      </c>
    </row>
    <row r="86" spans="8:15" ht="12.75">
      <c r="H86" s="10"/>
      <c r="M86" s="10"/>
      <c r="N86" s="10"/>
      <c r="O86" s="10"/>
    </row>
    <row r="87" spans="1:15" ht="25.5">
      <c r="A87" s="71" t="s">
        <v>0</v>
      </c>
      <c r="B87" s="89" t="s">
        <v>25</v>
      </c>
      <c r="C87" s="67" t="s">
        <v>1</v>
      </c>
      <c r="D87" s="67" t="s">
        <v>2</v>
      </c>
      <c r="E87" s="67" t="s">
        <v>3</v>
      </c>
      <c r="F87" s="67" t="s">
        <v>4</v>
      </c>
      <c r="G87" s="67" t="s">
        <v>5</v>
      </c>
      <c r="H87" s="67" t="s">
        <v>6</v>
      </c>
      <c r="I87" s="67" t="s">
        <v>7</v>
      </c>
      <c r="J87" s="67" t="s">
        <v>8</v>
      </c>
      <c r="K87" s="67" t="s">
        <v>9</v>
      </c>
      <c r="L87" s="67" t="s">
        <v>10</v>
      </c>
      <c r="M87" s="67" t="s">
        <v>11</v>
      </c>
      <c r="N87" s="67" t="s">
        <v>12</v>
      </c>
      <c r="O87" s="67" t="s">
        <v>13</v>
      </c>
    </row>
    <row r="88" spans="1:15" s="64" customFormat="1" ht="25.5">
      <c r="A88" s="67">
        <v>1</v>
      </c>
      <c r="B88" s="68" t="s">
        <v>71</v>
      </c>
      <c r="C88" s="69">
        <f>SUM(D88:O88)</f>
        <v>942701.82</v>
      </c>
      <c r="D88" s="69">
        <f>SUM(D89:D94)</f>
        <v>65555.73000000001</v>
      </c>
      <c r="E88" s="69">
        <f>SUM(E89:E94)</f>
        <v>61693.08</v>
      </c>
      <c r="F88" s="69">
        <f aca="true" t="shared" si="27" ref="F88:O88">SUM(F89:F94)</f>
        <v>58939.64</v>
      </c>
      <c r="G88" s="69">
        <f t="shared" si="27"/>
        <v>69286.12</v>
      </c>
      <c r="H88" s="69">
        <f t="shared" si="27"/>
        <v>85078.14</v>
      </c>
      <c r="I88" s="69">
        <f t="shared" si="27"/>
        <v>85735.44</v>
      </c>
      <c r="J88" s="69">
        <f t="shared" si="27"/>
        <v>87539.71</v>
      </c>
      <c r="K88" s="69">
        <f t="shared" si="27"/>
        <v>85262.56</v>
      </c>
      <c r="L88" s="69">
        <f t="shared" si="27"/>
        <v>85262.56</v>
      </c>
      <c r="M88" s="69">
        <f t="shared" si="27"/>
        <v>85259.71</v>
      </c>
      <c r="N88" s="69">
        <f t="shared" si="27"/>
        <v>85259.71</v>
      </c>
      <c r="O88" s="69">
        <f t="shared" si="27"/>
        <v>87829.42</v>
      </c>
    </row>
    <row r="89" spans="1:15" ht="12.75">
      <c r="A89" s="74"/>
      <c r="B89" s="90" t="s">
        <v>26</v>
      </c>
      <c r="C89" s="11">
        <f aca="true" t="shared" si="28" ref="C89:C194">SUM(D89:O89)</f>
        <v>144988.32</v>
      </c>
      <c r="D89" s="11">
        <f>10580+846.4+634.8+21.16</f>
        <v>12082.359999999999</v>
      </c>
      <c r="E89" s="11">
        <v>12082.36</v>
      </c>
      <c r="F89" s="11">
        <v>12082.36</v>
      </c>
      <c r="G89" s="11">
        <v>12082.36</v>
      </c>
      <c r="H89" s="11">
        <v>12082.36</v>
      </c>
      <c r="I89" s="11">
        <v>12082.36</v>
      </c>
      <c r="J89" s="11">
        <v>12082.36</v>
      </c>
      <c r="K89" s="11">
        <v>12082.36</v>
      </c>
      <c r="L89" s="11">
        <v>12082.36</v>
      </c>
      <c r="M89" s="11">
        <v>12082.36</v>
      </c>
      <c r="N89" s="11">
        <v>12082.36</v>
      </c>
      <c r="O89" s="11">
        <v>12082.36</v>
      </c>
    </row>
    <row r="90" spans="1:15" ht="12.75">
      <c r="A90" s="74"/>
      <c r="B90" s="90" t="s">
        <v>295</v>
      </c>
      <c r="C90" s="11">
        <f t="shared" si="28"/>
        <v>227499.37000000002</v>
      </c>
      <c r="D90" s="11"/>
      <c r="E90" s="11"/>
      <c r="F90" s="11"/>
      <c r="G90" s="11">
        <f>9691.36+1356.79+19.38</f>
        <v>11067.53</v>
      </c>
      <c r="H90" s="11">
        <f aca="true" t="shared" si="29" ref="H90:O90">23690+3316.6+47.38</f>
        <v>27053.98</v>
      </c>
      <c r="I90" s="11">
        <f t="shared" si="29"/>
        <v>27053.98</v>
      </c>
      <c r="J90" s="11">
        <f t="shared" si="29"/>
        <v>27053.98</v>
      </c>
      <c r="K90" s="11">
        <f t="shared" si="29"/>
        <v>27053.98</v>
      </c>
      <c r="L90" s="11">
        <f t="shared" si="29"/>
        <v>27053.98</v>
      </c>
      <c r="M90" s="11">
        <f t="shared" si="29"/>
        <v>27053.98</v>
      </c>
      <c r="N90" s="11">
        <f t="shared" si="29"/>
        <v>27053.98</v>
      </c>
      <c r="O90" s="11">
        <f t="shared" si="29"/>
        <v>27053.98</v>
      </c>
    </row>
    <row r="91" spans="1:15" ht="12.75">
      <c r="A91" s="74"/>
      <c r="B91" s="90" t="s">
        <v>27</v>
      </c>
      <c r="C91" s="11">
        <f t="shared" si="28"/>
        <v>71053.51</v>
      </c>
      <c r="D91" s="11">
        <f>5002.5+700.35+10.01</f>
        <v>5712.860000000001</v>
      </c>
      <c r="E91" s="11">
        <f>5464.6+765.04+10.93</f>
        <v>6240.570000000001</v>
      </c>
      <c r="F91" s="11">
        <f>4547.79+636.69+9.09</f>
        <v>5193.57</v>
      </c>
      <c r="G91" s="11">
        <v>5712.86</v>
      </c>
      <c r="H91" s="11">
        <f>4832.24+676.52+9.66</f>
        <v>5518.42</v>
      </c>
      <c r="I91" s="11">
        <f>5432+760.48+10.86-13.81</f>
        <v>6189.529999999999</v>
      </c>
      <c r="J91" s="11">
        <f>7000+560+420</f>
        <v>7980</v>
      </c>
      <c r="K91" s="11">
        <f>5002.5+400.2+300.15</f>
        <v>5702.849999999999</v>
      </c>
      <c r="L91" s="11">
        <f>5002.5+400.2+300.15</f>
        <v>5702.849999999999</v>
      </c>
      <c r="M91" s="11">
        <f>5000+400+300</f>
        <v>5700</v>
      </c>
      <c r="N91" s="11">
        <f>5000+400+300</f>
        <v>5700</v>
      </c>
      <c r="O91" s="11">
        <f>5000+400+300</f>
        <v>5700</v>
      </c>
    </row>
    <row r="92" spans="1:15" ht="12.75">
      <c r="A92" s="74"/>
      <c r="B92" s="90" t="s">
        <v>28</v>
      </c>
      <c r="C92" s="11">
        <f t="shared" si="28"/>
        <v>372184.2699999999</v>
      </c>
      <c r="D92" s="11">
        <f>29163.9+2333.11+1749.83+65.5+502.32+3588</f>
        <v>37402.66</v>
      </c>
      <c r="E92" s="11">
        <f>25324+2025.92+1519.44+3588+502.32+52.62</f>
        <v>33012.3</v>
      </c>
      <c r="F92" s="11">
        <f>23825.18+1906.02+1429.51+3588+502.32+54.83</f>
        <v>31305.86</v>
      </c>
      <c r="G92" s="11">
        <f>22724+1817.92+1363.44+3588+502.32+52.62+14.94</f>
        <v>30063.239999999994</v>
      </c>
      <c r="H92" s="11">
        <f>22724+1817.92+1363.44+3588+502.32+52.62+14.94-1.13</f>
        <v>30062.109999999993</v>
      </c>
      <c r="I92" s="11">
        <f aca="true" t="shared" si="30" ref="I92:O92">22724+3181.36+3588+502.32+52.62</f>
        <v>30048.3</v>
      </c>
      <c r="J92" s="11">
        <f t="shared" si="30"/>
        <v>30048.3</v>
      </c>
      <c r="K92" s="11">
        <f t="shared" si="30"/>
        <v>30048.3</v>
      </c>
      <c r="L92" s="11">
        <f t="shared" si="30"/>
        <v>30048.3</v>
      </c>
      <c r="M92" s="11">
        <f t="shared" si="30"/>
        <v>30048.3</v>
      </c>
      <c r="N92" s="11">
        <f t="shared" si="30"/>
        <v>30048.3</v>
      </c>
      <c r="O92" s="11">
        <f t="shared" si="30"/>
        <v>30048.3</v>
      </c>
    </row>
    <row r="93" spans="1:15" ht="12.75">
      <c r="A93" s="74"/>
      <c r="B93" s="90" t="s">
        <v>286</v>
      </c>
      <c r="C93" s="11">
        <f t="shared" si="28"/>
        <v>94463.40000000001</v>
      </c>
      <c r="D93" s="11">
        <f>4598+643.72+2299+183.92+137.94</f>
        <v>7862.58</v>
      </c>
      <c r="E93" s="11">
        <v>7862.58</v>
      </c>
      <c r="F93" s="11">
        <v>7862.58</v>
      </c>
      <c r="G93" s="11">
        <f>4600+644+2299+321.86</f>
        <v>7864.86</v>
      </c>
      <c r="H93" s="11">
        <f>4600+644+2300+184+138</f>
        <v>7866</v>
      </c>
      <c r="I93" s="11">
        <f>4600+644+2300+184+138</f>
        <v>7866</v>
      </c>
      <c r="J93" s="11">
        <f aca="true" t="shared" si="31" ref="J93:O93">4600+644+2300+184+138+13.8</f>
        <v>7879.8</v>
      </c>
      <c r="K93" s="11">
        <f t="shared" si="31"/>
        <v>7879.8</v>
      </c>
      <c r="L93" s="11">
        <f t="shared" si="31"/>
        <v>7879.8</v>
      </c>
      <c r="M93" s="11">
        <f t="shared" si="31"/>
        <v>7879.8</v>
      </c>
      <c r="N93" s="11">
        <f t="shared" si="31"/>
        <v>7879.8</v>
      </c>
      <c r="O93" s="11">
        <f t="shared" si="31"/>
        <v>7879.8</v>
      </c>
    </row>
    <row r="94" spans="1:15" ht="12.75">
      <c r="A94" s="74"/>
      <c r="B94" s="90" t="s">
        <v>29</v>
      </c>
      <c r="C94" s="11">
        <f t="shared" si="28"/>
        <v>32512.95</v>
      </c>
      <c r="D94" s="11">
        <f>2185+305.9+4.37</f>
        <v>2495.27</v>
      </c>
      <c r="E94" s="11">
        <v>2495.27</v>
      </c>
      <c r="F94" s="11">
        <v>2495.27</v>
      </c>
      <c r="G94" s="11">
        <v>2495.27</v>
      </c>
      <c r="H94" s="11">
        <v>2495.27</v>
      </c>
      <c r="I94" s="11">
        <v>2495.27</v>
      </c>
      <c r="J94" s="11">
        <v>2495.27</v>
      </c>
      <c r="K94" s="11">
        <v>2495.27</v>
      </c>
      <c r="L94" s="11">
        <v>2495.27</v>
      </c>
      <c r="M94" s="11">
        <v>2495.27</v>
      </c>
      <c r="N94" s="11">
        <v>2495.27</v>
      </c>
      <c r="O94" s="11">
        <f>2495.27+2569.71</f>
        <v>5064.98</v>
      </c>
    </row>
    <row r="95" spans="1:15" s="64" customFormat="1" ht="12.75">
      <c r="A95" s="67">
        <v>2</v>
      </c>
      <c r="B95" s="68" t="s">
        <v>287</v>
      </c>
      <c r="C95" s="69">
        <f t="shared" si="28"/>
        <v>3276.36</v>
      </c>
      <c r="D95" s="69">
        <f>D97</f>
        <v>0</v>
      </c>
      <c r="E95" s="69">
        <f>E96+E97</f>
        <v>2620.86</v>
      </c>
      <c r="F95" s="69">
        <f aca="true" t="shared" si="32" ref="F95:O95">F96+F97</f>
        <v>0</v>
      </c>
      <c r="G95" s="69">
        <f t="shared" si="32"/>
        <v>0</v>
      </c>
      <c r="H95" s="69">
        <f t="shared" si="32"/>
        <v>0</v>
      </c>
      <c r="I95" s="69">
        <f t="shared" si="32"/>
        <v>0</v>
      </c>
      <c r="J95" s="69">
        <f t="shared" si="32"/>
        <v>0</v>
      </c>
      <c r="K95" s="69">
        <f t="shared" si="32"/>
        <v>0</v>
      </c>
      <c r="L95" s="69">
        <f t="shared" si="32"/>
        <v>0</v>
      </c>
      <c r="M95" s="69">
        <f t="shared" si="32"/>
        <v>0</v>
      </c>
      <c r="N95" s="69">
        <f t="shared" si="32"/>
        <v>655.5</v>
      </c>
      <c r="O95" s="69">
        <f t="shared" si="32"/>
        <v>0</v>
      </c>
    </row>
    <row r="96" spans="1:15" s="64" customFormat="1" ht="25.5">
      <c r="A96" s="67"/>
      <c r="B96" s="90" t="s">
        <v>364</v>
      </c>
      <c r="C96" s="11">
        <f t="shared" si="28"/>
        <v>655.5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>
        <v>655.5</v>
      </c>
      <c r="O96" s="69"/>
    </row>
    <row r="97" spans="1:15" ht="38.25">
      <c r="A97" s="74"/>
      <c r="B97" s="90" t="s">
        <v>288</v>
      </c>
      <c r="C97" s="11">
        <f t="shared" si="28"/>
        <v>2620.86</v>
      </c>
      <c r="D97" s="11"/>
      <c r="E97" s="11">
        <f>2299+321.86</f>
        <v>2620.86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s="64" customFormat="1" ht="12.75">
      <c r="A98" s="67">
        <v>3</v>
      </c>
      <c r="B98" s="68" t="s">
        <v>289</v>
      </c>
      <c r="C98" s="69">
        <f>SUM(D98:O98)</f>
        <v>47172.06</v>
      </c>
      <c r="D98" s="69">
        <f>D101+D99+D100</f>
        <v>0</v>
      </c>
      <c r="E98" s="69">
        <f aca="true" t="shared" si="33" ref="E98:O98">E101+E99+E100</f>
        <v>0</v>
      </c>
      <c r="F98" s="69">
        <f t="shared" si="33"/>
        <v>26206.32</v>
      </c>
      <c r="G98" s="69">
        <f t="shared" si="33"/>
        <v>0</v>
      </c>
      <c r="H98" s="69">
        <f t="shared" si="33"/>
        <v>0</v>
      </c>
      <c r="I98" s="69">
        <f t="shared" si="33"/>
        <v>0</v>
      </c>
      <c r="J98" s="69">
        <f t="shared" si="33"/>
        <v>2620.86</v>
      </c>
      <c r="K98" s="69">
        <f t="shared" si="33"/>
        <v>0</v>
      </c>
      <c r="L98" s="69">
        <f t="shared" si="33"/>
        <v>18344.88</v>
      </c>
      <c r="M98" s="69">
        <f t="shared" si="33"/>
        <v>0</v>
      </c>
      <c r="N98" s="69">
        <f t="shared" si="33"/>
        <v>0</v>
      </c>
      <c r="O98" s="69">
        <f t="shared" si="33"/>
        <v>0</v>
      </c>
    </row>
    <row r="99" spans="1:15" ht="38.25">
      <c r="A99" s="74"/>
      <c r="B99" s="90" t="s">
        <v>344</v>
      </c>
      <c r="C99" s="11">
        <f t="shared" si="28"/>
        <v>2620.86</v>
      </c>
      <c r="D99" s="11"/>
      <c r="E99" s="11"/>
      <c r="F99" s="11"/>
      <c r="G99" s="11"/>
      <c r="H99" s="11"/>
      <c r="I99" s="11"/>
      <c r="J99" s="11">
        <f>2299+321.86</f>
        <v>2620.86</v>
      </c>
      <c r="K99" s="11"/>
      <c r="L99" s="11"/>
      <c r="M99" s="11"/>
      <c r="N99" s="11"/>
      <c r="O99" s="11"/>
    </row>
    <row r="100" spans="1:15" ht="51">
      <c r="A100" s="74"/>
      <c r="B100" s="90" t="s">
        <v>308</v>
      </c>
      <c r="C100" s="11">
        <f t="shared" si="28"/>
        <v>18344.88</v>
      </c>
      <c r="D100" s="11"/>
      <c r="E100" s="11"/>
      <c r="F100" s="11"/>
      <c r="G100" s="11"/>
      <c r="H100" s="11"/>
      <c r="I100" s="11"/>
      <c r="J100" s="11"/>
      <c r="K100" s="11"/>
      <c r="L100" s="11">
        <f>16092+2252.88</f>
        <v>18344.88</v>
      </c>
      <c r="M100" s="11"/>
      <c r="N100" s="11"/>
      <c r="O100" s="11"/>
    </row>
    <row r="101" spans="1:15" ht="63.75">
      <c r="A101" s="74"/>
      <c r="B101" s="90" t="s">
        <v>343</v>
      </c>
      <c r="C101" s="11">
        <f t="shared" si="28"/>
        <v>26206.32</v>
      </c>
      <c r="D101" s="11"/>
      <c r="E101" s="11"/>
      <c r="F101" s="11">
        <f>22988+3218.32</f>
        <v>26206.32</v>
      </c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s="64" customFormat="1" ht="12.75">
      <c r="A102" s="67">
        <v>4</v>
      </c>
      <c r="B102" s="68" t="s">
        <v>342</v>
      </c>
      <c r="C102" s="69">
        <f aca="true" t="shared" si="34" ref="C102:C131">SUM(D102:O102)</f>
        <v>25288.62</v>
      </c>
      <c r="D102" s="69">
        <f>D105+D103+D104</f>
        <v>0</v>
      </c>
      <c r="E102" s="69">
        <f aca="true" t="shared" si="35" ref="E102:O102">E105+E103+E104</f>
        <v>0</v>
      </c>
      <c r="F102" s="69">
        <f t="shared" si="35"/>
        <v>1309.86</v>
      </c>
      <c r="G102" s="69">
        <f t="shared" si="35"/>
        <v>10482.3</v>
      </c>
      <c r="H102" s="69">
        <f t="shared" si="35"/>
        <v>0</v>
      </c>
      <c r="I102" s="69">
        <f t="shared" si="35"/>
        <v>7861.4400000000005</v>
      </c>
      <c r="J102" s="69">
        <f t="shared" si="35"/>
        <v>0</v>
      </c>
      <c r="K102" s="69">
        <f t="shared" si="35"/>
        <v>0</v>
      </c>
      <c r="L102" s="69">
        <f t="shared" si="35"/>
        <v>0</v>
      </c>
      <c r="M102" s="69">
        <f t="shared" si="35"/>
        <v>0</v>
      </c>
      <c r="N102" s="69">
        <f t="shared" si="35"/>
        <v>5635.02</v>
      </c>
      <c r="O102" s="69">
        <f t="shared" si="35"/>
        <v>0</v>
      </c>
    </row>
    <row r="103" spans="1:15" s="64" customFormat="1" ht="38.25">
      <c r="A103" s="67"/>
      <c r="B103" s="90" t="s">
        <v>291</v>
      </c>
      <c r="C103" s="11">
        <f t="shared" si="34"/>
        <v>1309.86</v>
      </c>
      <c r="D103" s="11"/>
      <c r="E103" s="11"/>
      <c r="F103" s="11">
        <v>1309.86</v>
      </c>
      <c r="G103" s="11"/>
      <c r="H103" s="11"/>
      <c r="I103" s="11"/>
      <c r="J103" s="69"/>
      <c r="K103" s="69"/>
      <c r="L103" s="69"/>
      <c r="M103" s="69"/>
      <c r="N103" s="69"/>
      <c r="O103" s="69"/>
    </row>
    <row r="104" spans="1:15" s="64" customFormat="1" ht="38.25">
      <c r="A104" s="67"/>
      <c r="B104" s="90" t="s">
        <v>306</v>
      </c>
      <c r="C104" s="11">
        <f t="shared" si="34"/>
        <v>7861.4400000000005</v>
      </c>
      <c r="D104" s="11"/>
      <c r="E104" s="11"/>
      <c r="F104" s="11"/>
      <c r="G104" s="11"/>
      <c r="H104" s="11"/>
      <c r="I104" s="11">
        <f>6896+965.44</f>
        <v>7861.4400000000005</v>
      </c>
      <c r="J104" s="69"/>
      <c r="K104" s="69"/>
      <c r="L104" s="69"/>
      <c r="M104" s="69"/>
      <c r="N104" s="69"/>
      <c r="O104" s="69"/>
    </row>
    <row r="105" spans="1:15" ht="38.25">
      <c r="A105" s="74"/>
      <c r="B105" s="90" t="s">
        <v>345</v>
      </c>
      <c r="C105" s="11">
        <f t="shared" si="34"/>
        <v>16117.32</v>
      </c>
      <c r="D105" s="11"/>
      <c r="E105" s="11"/>
      <c r="F105" s="11"/>
      <c r="G105" s="11">
        <f>9195+1287.3</f>
        <v>10482.3</v>
      </c>
      <c r="H105" s="11"/>
      <c r="I105" s="11"/>
      <c r="J105" s="11"/>
      <c r="K105" s="11"/>
      <c r="L105" s="11"/>
      <c r="M105" s="11"/>
      <c r="N105" s="11">
        <v>5635.02</v>
      </c>
      <c r="O105" s="11"/>
    </row>
    <row r="106" spans="1:15" s="64" customFormat="1" ht="12.75">
      <c r="A106" s="67">
        <v>5</v>
      </c>
      <c r="B106" s="68" t="s">
        <v>292</v>
      </c>
      <c r="C106" s="69">
        <f t="shared" si="34"/>
        <v>2751.96</v>
      </c>
      <c r="D106" s="69">
        <f>D107</f>
        <v>0</v>
      </c>
      <c r="E106" s="69">
        <f>E107</f>
        <v>0</v>
      </c>
      <c r="F106" s="69">
        <f>F107</f>
        <v>2751.96</v>
      </c>
      <c r="G106" s="69">
        <f aca="true" t="shared" si="36" ref="G106:O106">G107</f>
        <v>0</v>
      </c>
      <c r="H106" s="69">
        <f t="shared" si="36"/>
        <v>0</v>
      </c>
      <c r="I106" s="69">
        <f t="shared" si="36"/>
        <v>0</v>
      </c>
      <c r="J106" s="69">
        <f t="shared" si="36"/>
        <v>0</v>
      </c>
      <c r="K106" s="69">
        <f t="shared" si="36"/>
        <v>0</v>
      </c>
      <c r="L106" s="69">
        <f t="shared" si="36"/>
        <v>0</v>
      </c>
      <c r="M106" s="69">
        <f t="shared" si="36"/>
        <v>0</v>
      </c>
      <c r="N106" s="69">
        <f t="shared" si="36"/>
        <v>0</v>
      </c>
      <c r="O106" s="69">
        <f t="shared" si="36"/>
        <v>0</v>
      </c>
    </row>
    <row r="107" spans="1:15" ht="25.5">
      <c r="A107" s="74"/>
      <c r="B107" s="90" t="s">
        <v>411</v>
      </c>
      <c r="C107" s="11">
        <f t="shared" si="34"/>
        <v>2751.96</v>
      </c>
      <c r="D107" s="11"/>
      <c r="E107" s="11"/>
      <c r="F107" s="11">
        <f>2414+337.96</f>
        <v>2751.96</v>
      </c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s="64" customFormat="1" ht="12.75">
      <c r="A108" s="67">
        <v>6</v>
      </c>
      <c r="B108" s="68" t="s">
        <v>293</v>
      </c>
      <c r="C108" s="69">
        <f t="shared" si="34"/>
        <v>25905.359999999997</v>
      </c>
      <c r="D108" s="69">
        <f>D109</f>
        <v>0</v>
      </c>
      <c r="E108" s="69">
        <f aca="true" t="shared" si="37" ref="E108:O108">E109</f>
        <v>0</v>
      </c>
      <c r="F108" s="69">
        <f t="shared" si="37"/>
        <v>25905.359999999997</v>
      </c>
      <c r="G108" s="69">
        <f t="shared" si="37"/>
        <v>0</v>
      </c>
      <c r="H108" s="69">
        <f t="shared" si="37"/>
        <v>0</v>
      </c>
      <c r="I108" s="69">
        <f t="shared" si="37"/>
        <v>0</v>
      </c>
      <c r="J108" s="69">
        <f t="shared" si="37"/>
        <v>0</v>
      </c>
      <c r="K108" s="69">
        <f t="shared" si="37"/>
        <v>0</v>
      </c>
      <c r="L108" s="69">
        <f t="shared" si="37"/>
        <v>0</v>
      </c>
      <c r="M108" s="69">
        <f t="shared" si="37"/>
        <v>0</v>
      </c>
      <c r="N108" s="69">
        <f t="shared" si="37"/>
        <v>0</v>
      </c>
      <c r="O108" s="69">
        <f t="shared" si="37"/>
        <v>0</v>
      </c>
    </row>
    <row r="109" spans="1:15" ht="25.5">
      <c r="A109" s="74"/>
      <c r="B109" s="90" t="s">
        <v>294</v>
      </c>
      <c r="C109" s="11">
        <f t="shared" si="34"/>
        <v>25905.359999999997</v>
      </c>
      <c r="D109" s="11"/>
      <c r="E109" s="11"/>
      <c r="F109" s="11">
        <f>22724+1817.92+1363.44</f>
        <v>25905.359999999997</v>
      </c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s="64" customFormat="1" ht="12.75">
      <c r="A110" s="67">
        <v>7</v>
      </c>
      <c r="B110" s="68" t="s">
        <v>62</v>
      </c>
      <c r="C110" s="69">
        <f t="shared" si="34"/>
        <v>5896.08</v>
      </c>
      <c r="D110" s="69">
        <f>D111</f>
        <v>0</v>
      </c>
      <c r="E110" s="69">
        <f aca="true" t="shared" si="38" ref="E110:O110">E111</f>
        <v>0</v>
      </c>
      <c r="F110" s="69">
        <f t="shared" si="38"/>
        <v>0</v>
      </c>
      <c r="G110" s="69">
        <f t="shared" si="38"/>
        <v>5896.08</v>
      </c>
      <c r="H110" s="69">
        <f t="shared" si="38"/>
        <v>0</v>
      </c>
      <c r="I110" s="69">
        <f t="shared" si="38"/>
        <v>0</v>
      </c>
      <c r="J110" s="69">
        <f t="shared" si="38"/>
        <v>0</v>
      </c>
      <c r="K110" s="69">
        <f t="shared" si="38"/>
        <v>0</v>
      </c>
      <c r="L110" s="69">
        <f t="shared" si="38"/>
        <v>0</v>
      </c>
      <c r="M110" s="69">
        <f t="shared" si="38"/>
        <v>0</v>
      </c>
      <c r="N110" s="69">
        <f t="shared" si="38"/>
        <v>0</v>
      </c>
      <c r="O110" s="69">
        <f t="shared" si="38"/>
        <v>0</v>
      </c>
    </row>
    <row r="111" spans="1:15" ht="38.25">
      <c r="A111" s="74"/>
      <c r="B111" s="90" t="s">
        <v>299</v>
      </c>
      <c r="C111" s="11">
        <f t="shared" si="34"/>
        <v>5896.08</v>
      </c>
      <c r="D111" s="11"/>
      <c r="E111" s="11"/>
      <c r="F111" s="11"/>
      <c r="G111" s="11">
        <f>5172+724.08</f>
        <v>5896.08</v>
      </c>
      <c r="H111" s="11"/>
      <c r="I111" s="11"/>
      <c r="J111" s="11"/>
      <c r="K111" s="11"/>
      <c r="L111" s="11"/>
      <c r="M111" s="11"/>
      <c r="N111" s="11"/>
      <c r="O111" s="11"/>
    </row>
    <row r="112" spans="1:15" s="64" customFormat="1" ht="12.75">
      <c r="A112" s="67">
        <v>8</v>
      </c>
      <c r="B112" s="68" t="s">
        <v>296</v>
      </c>
      <c r="C112" s="69">
        <f t="shared" si="34"/>
        <v>2620.86</v>
      </c>
      <c r="D112" s="69">
        <f>D113</f>
        <v>0</v>
      </c>
      <c r="E112" s="69">
        <f aca="true" t="shared" si="39" ref="E112:O112">E113</f>
        <v>0</v>
      </c>
      <c r="F112" s="69">
        <f t="shared" si="39"/>
        <v>0</v>
      </c>
      <c r="G112" s="69">
        <f t="shared" si="39"/>
        <v>2620.86</v>
      </c>
      <c r="H112" s="69">
        <f t="shared" si="39"/>
        <v>0</v>
      </c>
      <c r="I112" s="69">
        <f t="shared" si="39"/>
        <v>0</v>
      </c>
      <c r="J112" s="69">
        <f t="shared" si="39"/>
        <v>0</v>
      </c>
      <c r="K112" s="69">
        <f t="shared" si="39"/>
        <v>0</v>
      </c>
      <c r="L112" s="69">
        <f t="shared" si="39"/>
        <v>0</v>
      </c>
      <c r="M112" s="69">
        <f t="shared" si="39"/>
        <v>0</v>
      </c>
      <c r="N112" s="69">
        <f t="shared" si="39"/>
        <v>0</v>
      </c>
      <c r="O112" s="69">
        <f t="shared" si="39"/>
        <v>0</v>
      </c>
    </row>
    <row r="113" spans="1:15" ht="51">
      <c r="A113" s="74"/>
      <c r="B113" s="90" t="s">
        <v>297</v>
      </c>
      <c r="C113" s="11">
        <f t="shared" si="34"/>
        <v>2620.86</v>
      </c>
      <c r="D113" s="11"/>
      <c r="E113" s="11"/>
      <c r="F113" s="11"/>
      <c r="G113" s="11">
        <f>2299+321.86</f>
        <v>2620.86</v>
      </c>
      <c r="H113" s="11"/>
      <c r="I113" s="11"/>
      <c r="J113" s="11"/>
      <c r="K113" s="11"/>
      <c r="L113" s="11"/>
      <c r="M113" s="11"/>
      <c r="N113" s="11"/>
      <c r="O113" s="11"/>
    </row>
    <row r="114" spans="1:15" s="64" customFormat="1" ht="12.75">
      <c r="A114" s="67">
        <v>9</v>
      </c>
      <c r="B114" s="68" t="s">
        <v>300</v>
      </c>
      <c r="C114" s="69">
        <f t="shared" si="34"/>
        <v>25211.1</v>
      </c>
      <c r="D114" s="69">
        <f>D119+D115+D118+D117+D116</f>
        <v>0</v>
      </c>
      <c r="E114" s="69">
        <f aca="true" t="shared" si="40" ref="E114:O114">E119+E115+E118+E117+E116</f>
        <v>0</v>
      </c>
      <c r="F114" s="69">
        <f t="shared" si="40"/>
        <v>0</v>
      </c>
      <c r="G114" s="69">
        <f t="shared" si="40"/>
        <v>0</v>
      </c>
      <c r="H114" s="69">
        <f t="shared" si="40"/>
        <v>5241.72</v>
      </c>
      <c r="I114" s="69">
        <f t="shared" si="40"/>
        <v>9172.44</v>
      </c>
      <c r="J114" s="69">
        <f t="shared" si="40"/>
        <v>1965.3600000000001</v>
      </c>
      <c r="K114" s="69">
        <f t="shared" si="40"/>
        <v>0</v>
      </c>
      <c r="L114" s="69">
        <f t="shared" si="40"/>
        <v>2280</v>
      </c>
      <c r="M114" s="69">
        <f t="shared" si="40"/>
        <v>6551.58</v>
      </c>
      <c r="N114" s="69">
        <f t="shared" si="40"/>
        <v>0</v>
      </c>
      <c r="O114" s="69">
        <f t="shared" si="40"/>
        <v>0</v>
      </c>
    </row>
    <row r="115" spans="1:15" ht="25.5">
      <c r="A115" s="74"/>
      <c r="B115" s="90" t="s">
        <v>305</v>
      </c>
      <c r="C115" s="11">
        <f t="shared" si="34"/>
        <v>3930.7200000000003</v>
      </c>
      <c r="D115" s="11"/>
      <c r="E115" s="11"/>
      <c r="F115" s="11"/>
      <c r="G115" s="11"/>
      <c r="H115" s="11"/>
      <c r="I115" s="11">
        <f>3448+482.72</f>
        <v>3930.7200000000003</v>
      </c>
      <c r="J115" s="11"/>
      <c r="K115" s="11"/>
      <c r="L115" s="11"/>
      <c r="M115" s="11"/>
      <c r="N115" s="11"/>
      <c r="O115" s="11"/>
    </row>
    <row r="116" spans="1:15" ht="63.75">
      <c r="A116" s="74"/>
      <c r="B116" s="90" t="s">
        <v>309</v>
      </c>
      <c r="C116" s="11">
        <f t="shared" si="34"/>
        <v>6551.58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>
        <f>5747+804.58</f>
        <v>6551.58</v>
      </c>
      <c r="N116" s="11"/>
      <c r="O116" s="11"/>
    </row>
    <row r="117" spans="1:15" ht="12.75">
      <c r="A117" s="74"/>
      <c r="B117" s="90" t="s">
        <v>346</v>
      </c>
      <c r="C117" s="11">
        <f t="shared" si="34"/>
        <v>2280</v>
      </c>
      <c r="D117" s="11"/>
      <c r="E117" s="11"/>
      <c r="F117" s="11"/>
      <c r="G117" s="11"/>
      <c r="H117" s="11"/>
      <c r="I117" s="11"/>
      <c r="J117" s="11"/>
      <c r="K117" s="11"/>
      <c r="L117" s="11">
        <f>2000+280</f>
        <v>2280</v>
      </c>
      <c r="M117" s="11"/>
      <c r="N117" s="11"/>
      <c r="O117" s="11"/>
    </row>
    <row r="118" spans="1:15" ht="12.75">
      <c r="A118" s="74"/>
      <c r="B118" s="90" t="s">
        <v>152</v>
      </c>
      <c r="C118" s="11">
        <f t="shared" si="34"/>
        <v>1965.3600000000001</v>
      </c>
      <c r="D118" s="11"/>
      <c r="E118" s="11"/>
      <c r="F118" s="11"/>
      <c r="G118" s="11"/>
      <c r="H118" s="11"/>
      <c r="I118" s="11"/>
      <c r="J118" s="11">
        <f>1724+241.36</f>
        <v>1965.3600000000001</v>
      </c>
      <c r="K118" s="11"/>
      <c r="L118" s="11"/>
      <c r="M118" s="11"/>
      <c r="N118" s="11"/>
      <c r="O118" s="11"/>
    </row>
    <row r="119" spans="1:15" ht="38.25">
      <c r="A119" s="74"/>
      <c r="B119" s="90" t="s">
        <v>301</v>
      </c>
      <c r="C119" s="11">
        <f t="shared" si="34"/>
        <v>10483.44</v>
      </c>
      <c r="D119" s="11"/>
      <c r="E119" s="11"/>
      <c r="F119" s="11"/>
      <c r="G119" s="11"/>
      <c r="H119" s="11">
        <f>4598+367.84+275.88</f>
        <v>5241.72</v>
      </c>
      <c r="I119" s="11">
        <f>4598+643.72</f>
        <v>5241.72</v>
      </c>
      <c r="J119" s="11"/>
      <c r="K119" s="11"/>
      <c r="L119" s="11"/>
      <c r="M119" s="11"/>
      <c r="N119" s="11"/>
      <c r="O119" s="11"/>
    </row>
    <row r="120" spans="1:15" s="64" customFormat="1" ht="12.75">
      <c r="A120" s="67">
        <v>10</v>
      </c>
      <c r="B120" s="68" t="s">
        <v>302</v>
      </c>
      <c r="C120" s="69">
        <f t="shared" si="34"/>
        <v>35806.32</v>
      </c>
      <c r="D120" s="69">
        <f>D122+D121</f>
        <v>0</v>
      </c>
      <c r="E120" s="69">
        <f aca="true" t="shared" si="41" ref="E120:O120">E122+E121</f>
        <v>0</v>
      </c>
      <c r="F120" s="69">
        <f t="shared" si="41"/>
        <v>0</v>
      </c>
      <c r="G120" s="69">
        <f t="shared" si="41"/>
        <v>0</v>
      </c>
      <c r="H120" s="69">
        <f t="shared" si="41"/>
        <v>1200</v>
      </c>
      <c r="I120" s="69">
        <f t="shared" si="41"/>
        <v>27406.32</v>
      </c>
      <c r="J120" s="69">
        <f t="shared" si="41"/>
        <v>1200</v>
      </c>
      <c r="K120" s="69">
        <f t="shared" si="41"/>
        <v>1200</v>
      </c>
      <c r="L120" s="69">
        <f t="shared" si="41"/>
        <v>1200</v>
      </c>
      <c r="M120" s="69">
        <f t="shared" si="41"/>
        <v>1200</v>
      </c>
      <c r="N120" s="69">
        <f t="shared" si="41"/>
        <v>1200</v>
      </c>
      <c r="O120" s="69">
        <f t="shared" si="41"/>
        <v>1200</v>
      </c>
    </row>
    <row r="121" spans="1:15" s="64" customFormat="1" ht="12.75">
      <c r="A121" s="67"/>
      <c r="B121" s="90" t="s">
        <v>329</v>
      </c>
      <c r="C121" s="11">
        <f t="shared" si="34"/>
        <v>9600</v>
      </c>
      <c r="D121" s="69"/>
      <c r="E121" s="69"/>
      <c r="F121" s="69"/>
      <c r="G121" s="69"/>
      <c r="H121" s="11">
        <v>1200</v>
      </c>
      <c r="I121" s="11">
        <v>1200</v>
      </c>
      <c r="J121" s="11">
        <v>1200</v>
      </c>
      <c r="K121" s="11">
        <v>1200</v>
      </c>
      <c r="L121" s="11">
        <v>1200</v>
      </c>
      <c r="M121" s="11">
        <v>1200</v>
      </c>
      <c r="N121" s="11">
        <v>1200</v>
      </c>
      <c r="O121" s="11">
        <v>1200</v>
      </c>
    </row>
    <row r="122" spans="1:15" ht="38.25">
      <c r="A122" s="74"/>
      <c r="B122" s="90" t="s">
        <v>303</v>
      </c>
      <c r="C122" s="11">
        <f t="shared" si="34"/>
        <v>26206.32</v>
      </c>
      <c r="D122" s="11"/>
      <c r="E122" s="11"/>
      <c r="F122" s="11"/>
      <c r="G122" s="11"/>
      <c r="H122" s="11"/>
      <c r="I122" s="11">
        <f>22988+3218.32</f>
        <v>26206.32</v>
      </c>
      <c r="J122" s="11"/>
      <c r="K122" s="11"/>
      <c r="L122" s="11"/>
      <c r="M122" s="11"/>
      <c r="N122" s="11"/>
      <c r="O122" s="11"/>
    </row>
    <row r="123" spans="1:15" s="64" customFormat="1" ht="12.75">
      <c r="A123" s="67">
        <v>11</v>
      </c>
      <c r="B123" s="68" t="s">
        <v>63</v>
      </c>
      <c r="C123" s="69">
        <f t="shared" si="34"/>
        <v>35379.9</v>
      </c>
      <c r="D123" s="69">
        <f>D124+D125</f>
        <v>0</v>
      </c>
      <c r="E123" s="69">
        <f aca="true" t="shared" si="42" ref="E123:O123">E124+E125</f>
        <v>0</v>
      </c>
      <c r="F123" s="69">
        <f t="shared" si="42"/>
        <v>0</v>
      </c>
      <c r="G123" s="69">
        <f t="shared" si="42"/>
        <v>0</v>
      </c>
      <c r="H123" s="69">
        <f t="shared" si="42"/>
        <v>0</v>
      </c>
      <c r="I123" s="69">
        <f t="shared" si="42"/>
        <v>32759.04</v>
      </c>
      <c r="J123" s="69">
        <f t="shared" si="42"/>
        <v>0</v>
      </c>
      <c r="K123" s="69">
        <f t="shared" si="42"/>
        <v>0</v>
      </c>
      <c r="L123" s="69">
        <f t="shared" si="42"/>
        <v>2620.86</v>
      </c>
      <c r="M123" s="69">
        <f t="shared" si="42"/>
        <v>0</v>
      </c>
      <c r="N123" s="69">
        <f t="shared" si="42"/>
        <v>0</v>
      </c>
      <c r="O123" s="69">
        <f t="shared" si="42"/>
        <v>0</v>
      </c>
    </row>
    <row r="124" spans="1:15" ht="51">
      <c r="A124" s="74"/>
      <c r="B124" s="90" t="s">
        <v>304</v>
      </c>
      <c r="C124" s="11">
        <f t="shared" si="34"/>
        <v>32759.04</v>
      </c>
      <c r="D124" s="11"/>
      <c r="E124" s="11"/>
      <c r="F124" s="11"/>
      <c r="G124" s="11"/>
      <c r="H124" s="11"/>
      <c r="I124" s="11">
        <f>28736+2298.88+1724.16</f>
        <v>32759.04</v>
      </c>
      <c r="J124" s="11"/>
      <c r="K124" s="11"/>
      <c r="L124" s="11"/>
      <c r="M124" s="11"/>
      <c r="N124" s="11"/>
      <c r="O124" s="11"/>
    </row>
    <row r="125" spans="1:15" ht="38.25">
      <c r="A125" s="74"/>
      <c r="B125" s="90" t="s">
        <v>307</v>
      </c>
      <c r="C125" s="11">
        <f t="shared" si="34"/>
        <v>2620.86</v>
      </c>
      <c r="D125" s="11"/>
      <c r="E125" s="11"/>
      <c r="F125" s="11"/>
      <c r="G125" s="11"/>
      <c r="H125" s="11"/>
      <c r="I125" s="11"/>
      <c r="J125" s="11"/>
      <c r="K125" s="11"/>
      <c r="L125" s="11">
        <f>2299+321.86</f>
        <v>2620.86</v>
      </c>
      <c r="M125" s="11"/>
      <c r="N125" s="11"/>
      <c r="O125" s="11"/>
    </row>
    <row r="126" spans="1:15" s="64" customFormat="1" ht="12.75">
      <c r="A126" s="67">
        <v>12</v>
      </c>
      <c r="B126" s="68" t="s">
        <v>310</v>
      </c>
      <c r="C126" s="69">
        <f t="shared" si="34"/>
        <v>5241.72</v>
      </c>
      <c r="D126" s="69">
        <f>D127</f>
        <v>0</v>
      </c>
      <c r="E126" s="69">
        <f aca="true" t="shared" si="43" ref="E126:O126">E127</f>
        <v>0</v>
      </c>
      <c r="F126" s="69">
        <f t="shared" si="43"/>
        <v>0</v>
      </c>
      <c r="G126" s="69">
        <f t="shared" si="43"/>
        <v>0</v>
      </c>
      <c r="H126" s="69">
        <f t="shared" si="43"/>
        <v>0</v>
      </c>
      <c r="I126" s="69">
        <f t="shared" si="43"/>
        <v>0</v>
      </c>
      <c r="J126" s="69">
        <f t="shared" si="43"/>
        <v>0</v>
      </c>
      <c r="K126" s="69">
        <f t="shared" si="43"/>
        <v>0</v>
      </c>
      <c r="L126" s="69">
        <f t="shared" si="43"/>
        <v>0</v>
      </c>
      <c r="M126" s="69">
        <f t="shared" si="43"/>
        <v>5241.72</v>
      </c>
      <c r="N126" s="69">
        <f t="shared" si="43"/>
        <v>0</v>
      </c>
      <c r="O126" s="69">
        <f t="shared" si="43"/>
        <v>0</v>
      </c>
    </row>
    <row r="127" spans="1:15" ht="63.75">
      <c r="A127" s="74"/>
      <c r="B127" s="90" t="s">
        <v>311</v>
      </c>
      <c r="C127" s="11">
        <f t="shared" si="34"/>
        <v>5241.72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>
        <f>4598+643.72</f>
        <v>5241.72</v>
      </c>
      <c r="N127" s="11"/>
      <c r="O127" s="11"/>
    </row>
    <row r="128" spans="1:15" s="64" customFormat="1" ht="12.75">
      <c r="A128" s="67">
        <v>13</v>
      </c>
      <c r="B128" s="68" t="s">
        <v>312</v>
      </c>
      <c r="C128" s="69">
        <f t="shared" si="34"/>
        <v>26206.32</v>
      </c>
      <c r="D128" s="69">
        <f>D129</f>
        <v>0</v>
      </c>
      <c r="E128" s="69">
        <f aca="true" t="shared" si="44" ref="E128:O128">E129</f>
        <v>0</v>
      </c>
      <c r="F128" s="69">
        <f t="shared" si="44"/>
        <v>0</v>
      </c>
      <c r="G128" s="69">
        <f t="shared" si="44"/>
        <v>0</v>
      </c>
      <c r="H128" s="69">
        <f t="shared" si="44"/>
        <v>0</v>
      </c>
      <c r="I128" s="69">
        <f t="shared" si="44"/>
        <v>0</v>
      </c>
      <c r="J128" s="69">
        <f t="shared" si="44"/>
        <v>0</v>
      </c>
      <c r="K128" s="69">
        <f t="shared" si="44"/>
        <v>0</v>
      </c>
      <c r="L128" s="69">
        <f t="shared" si="44"/>
        <v>0</v>
      </c>
      <c r="M128" s="69">
        <f t="shared" si="44"/>
        <v>26206.32</v>
      </c>
      <c r="N128" s="69">
        <f t="shared" si="44"/>
        <v>0</v>
      </c>
      <c r="O128" s="69">
        <f t="shared" si="44"/>
        <v>0</v>
      </c>
    </row>
    <row r="129" spans="1:15" ht="38.25">
      <c r="A129" s="74"/>
      <c r="B129" s="90" t="s">
        <v>347</v>
      </c>
      <c r="C129" s="11">
        <f t="shared" si="34"/>
        <v>26206.32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>
        <f>22988+3218.32</f>
        <v>26206.32</v>
      </c>
      <c r="N129" s="11"/>
      <c r="O129" s="11"/>
    </row>
    <row r="130" spans="1:15" s="64" customFormat="1" ht="12.75">
      <c r="A130" s="67">
        <v>14</v>
      </c>
      <c r="B130" s="68" t="s">
        <v>314</v>
      </c>
      <c r="C130" s="69">
        <f t="shared" si="34"/>
        <v>6555</v>
      </c>
      <c r="D130" s="69">
        <f>D131</f>
        <v>0</v>
      </c>
      <c r="E130" s="69">
        <f aca="true" t="shared" si="45" ref="E130:O130">E131</f>
        <v>0</v>
      </c>
      <c r="F130" s="69">
        <f t="shared" si="45"/>
        <v>0</v>
      </c>
      <c r="G130" s="69">
        <f t="shared" si="45"/>
        <v>0</v>
      </c>
      <c r="H130" s="69">
        <f t="shared" si="45"/>
        <v>0</v>
      </c>
      <c r="I130" s="69">
        <f t="shared" si="45"/>
        <v>0</v>
      </c>
      <c r="J130" s="69">
        <f t="shared" si="45"/>
        <v>0</v>
      </c>
      <c r="K130" s="69">
        <f t="shared" si="45"/>
        <v>0</v>
      </c>
      <c r="L130" s="69">
        <f t="shared" si="45"/>
        <v>0</v>
      </c>
      <c r="M130" s="69">
        <f t="shared" si="45"/>
        <v>6555</v>
      </c>
      <c r="N130" s="69">
        <f t="shared" si="45"/>
        <v>0</v>
      </c>
      <c r="O130" s="69">
        <f t="shared" si="45"/>
        <v>0</v>
      </c>
    </row>
    <row r="131" spans="1:15" ht="25.5">
      <c r="A131" s="111"/>
      <c r="B131" s="90" t="s">
        <v>315</v>
      </c>
      <c r="C131" s="11">
        <f t="shared" si="34"/>
        <v>6555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>
        <f>5750+805</f>
        <v>6555</v>
      </c>
      <c r="N131" s="11"/>
      <c r="O131" s="11"/>
    </row>
    <row r="132" spans="1:15" s="64" customFormat="1" ht="12.75">
      <c r="A132" s="67">
        <v>15</v>
      </c>
      <c r="B132" s="68" t="s">
        <v>31</v>
      </c>
      <c r="C132" s="69">
        <f t="shared" si="28"/>
        <v>668028</v>
      </c>
      <c r="D132" s="69">
        <f>SUM(D133:D135)</f>
        <v>59544</v>
      </c>
      <c r="E132" s="69">
        <f aca="true" t="shared" si="46" ref="E132:O132">SUM(E133:E135)</f>
        <v>64544</v>
      </c>
      <c r="F132" s="69">
        <f t="shared" si="46"/>
        <v>64544</v>
      </c>
      <c r="G132" s="69">
        <f t="shared" si="46"/>
        <v>50044</v>
      </c>
      <c r="H132" s="69">
        <f t="shared" si="46"/>
        <v>50044</v>
      </c>
      <c r="I132" s="69">
        <f t="shared" si="46"/>
        <v>50044</v>
      </c>
      <c r="J132" s="69">
        <f t="shared" si="46"/>
        <v>50044</v>
      </c>
      <c r="K132" s="69">
        <f t="shared" si="46"/>
        <v>50044</v>
      </c>
      <c r="L132" s="69">
        <f t="shared" si="46"/>
        <v>50044</v>
      </c>
      <c r="M132" s="69">
        <f t="shared" si="46"/>
        <v>62044</v>
      </c>
      <c r="N132" s="69">
        <f t="shared" si="46"/>
        <v>50044</v>
      </c>
      <c r="O132" s="69">
        <f t="shared" si="46"/>
        <v>67044</v>
      </c>
    </row>
    <row r="133" spans="1:15" ht="25.5">
      <c r="A133" s="76"/>
      <c r="B133" s="90" t="s">
        <v>32</v>
      </c>
      <c r="C133" s="11">
        <f t="shared" si="28"/>
        <v>639028</v>
      </c>
      <c r="D133" s="11">
        <v>59544</v>
      </c>
      <c r="E133" s="11">
        <v>64544</v>
      </c>
      <c r="F133" s="11">
        <v>64544</v>
      </c>
      <c r="G133" s="11">
        <v>50044</v>
      </c>
      <c r="H133" s="11">
        <v>50044</v>
      </c>
      <c r="I133" s="11">
        <v>50044</v>
      </c>
      <c r="J133" s="11">
        <v>50044</v>
      </c>
      <c r="K133" s="11">
        <v>50044</v>
      </c>
      <c r="L133" s="11">
        <v>50044</v>
      </c>
      <c r="M133" s="11">
        <v>50044</v>
      </c>
      <c r="N133" s="11">
        <v>50044</v>
      </c>
      <c r="O133" s="11">
        <v>50044</v>
      </c>
    </row>
    <row r="134" spans="1:15" ht="25.5">
      <c r="A134" s="76"/>
      <c r="B134" s="90" t="s">
        <v>362</v>
      </c>
      <c r="C134" s="11">
        <f t="shared" si="28"/>
        <v>17000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>
        <v>17000</v>
      </c>
    </row>
    <row r="135" spans="1:15" ht="25.5">
      <c r="A135" s="74"/>
      <c r="B135" s="90" t="s">
        <v>166</v>
      </c>
      <c r="C135" s="11">
        <f t="shared" si="28"/>
        <v>12000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>
        <v>12000</v>
      </c>
      <c r="N135" s="11"/>
      <c r="O135" s="11"/>
    </row>
    <row r="136" spans="1:15" s="64" customFormat="1" ht="12.75">
      <c r="A136" s="67">
        <v>16</v>
      </c>
      <c r="B136" s="68" t="s">
        <v>33</v>
      </c>
      <c r="C136" s="69">
        <f t="shared" si="28"/>
        <v>13600</v>
      </c>
      <c r="D136" s="69">
        <f>SUM(D137:D139)</f>
        <v>0</v>
      </c>
      <c r="E136" s="69">
        <f aca="true" t="shared" si="47" ref="E136:O136">SUM(E137:E139)</f>
        <v>0</v>
      </c>
      <c r="F136" s="69">
        <f t="shared" si="47"/>
        <v>0</v>
      </c>
      <c r="G136" s="69">
        <f t="shared" si="47"/>
        <v>0</v>
      </c>
      <c r="H136" s="69">
        <f t="shared" si="47"/>
        <v>13600</v>
      </c>
      <c r="I136" s="69">
        <f t="shared" si="47"/>
        <v>0</v>
      </c>
      <c r="J136" s="69">
        <f t="shared" si="47"/>
        <v>0</v>
      </c>
      <c r="K136" s="69">
        <f t="shared" si="47"/>
        <v>0</v>
      </c>
      <c r="L136" s="69">
        <f t="shared" si="47"/>
        <v>0</v>
      </c>
      <c r="M136" s="69">
        <f t="shared" si="47"/>
        <v>0</v>
      </c>
      <c r="N136" s="69">
        <f t="shared" si="47"/>
        <v>0</v>
      </c>
      <c r="O136" s="69">
        <f t="shared" si="47"/>
        <v>0</v>
      </c>
    </row>
    <row r="137" spans="1:15" ht="25.5">
      <c r="A137" s="74"/>
      <c r="B137" s="90" t="s">
        <v>36</v>
      </c>
      <c r="C137" s="11">
        <f t="shared" si="28"/>
        <v>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25.5">
      <c r="A138" s="76"/>
      <c r="B138" s="90" t="s">
        <v>254</v>
      </c>
      <c r="C138" s="11">
        <f t="shared" si="28"/>
        <v>13600</v>
      </c>
      <c r="D138" s="11"/>
      <c r="E138" s="11"/>
      <c r="F138" s="11"/>
      <c r="G138" s="11"/>
      <c r="H138" s="11">
        <v>13600</v>
      </c>
      <c r="I138" s="11"/>
      <c r="J138" s="11"/>
      <c r="K138" s="11"/>
      <c r="L138" s="11"/>
      <c r="M138" s="11"/>
      <c r="N138" s="11"/>
      <c r="O138" s="11"/>
    </row>
    <row r="139" spans="1:15" ht="12.75">
      <c r="A139" s="76"/>
      <c r="B139" s="90" t="s">
        <v>64</v>
      </c>
      <c r="C139" s="11">
        <f t="shared" si="28"/>
        <v>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s="64" customFormat="1" ht="12.75">
      <c r="A140" s="67">
        <v>17</v>
      </c>
      <c r="B140" s="68" t="s">
        <v>34</v>
      </c>
      <c r="C140" s="69">
        <f t="shared" si="28"/>
        <v>349293.65</v>
      </c>
      <c r="D140" s="69">
        <f>SUM(D141:D146)</f>
        <v>25650</v>
      </c>
      <c r="E140" s="69">
        <f aca="true" t="shared" si="48" ref="E140:O140">SUM(E141:E146)</f>
        <v>25850</v>
      </c>
      <c r="F140" s="69">
        <f t="shared" si="48"/>
        <v>25950</v>
      </c>
      <c r="G140" s="69">
        <f t="shared" si="48"/>
        <v>25750</v>
      </c>
      <c r="H140" s="69">
        <f t="shared" si="48"/>
        <v>25950</v>
      </c>
      <c r="I140" s="69">
        <f t="shared" si="48"/>
        <v>35843.65</v>
      </c>
      <c r="J140" s="69">
        <f t="shared" si="48"/>
        <v>55950</v>
      </c>
      <c r="K140" s="69">
        <f t="shared" si="48"/>
        <v>25950</v>
      </c>
      <c r="L140" s="69">
        <f t="shared" si="48"/>
        <v>25650</v>
      </c>
      <c r="M140" s="69">
        <f t="shared" si="48"/>
        <v>25550</v>
      </c>
      <c r="N140" s="69">
        <f t="shared" si="48"/>
        <v>25650</v>
      </c>
      <c r="O140" s="69">
        <f t="shared" si="48"/>
        <v>25550</v>
      </c>
    </row>
    <row r="141" spans="1:15" ht="24" customHeight="1">
      <c r="A141" s="74"/>
      <c r="B141" s="90" t="s">
        <v>38</v>
      </c>
      <c r="C141" s="11">
        <f t="shared" si="28"/>
        <v>257200</v>
      </c>
      <c r="D141" s="11">
        <v>21300</v>
      </c>
      <c r="E141" s="11">
        <v>21500</v>
      </c>
      <c r="F141" s="11">
        <v>21600</v>
      </c>
      <c r="G141" s="11">
        <v>21400</v>
      </c>
      <c r="H141" s="11">
        <v>21600</v>
      </c>
      <c r="I141" s="11">
        <v>21600</v>
      </c>
      <c r="J141" s="11">
        <v>21600</v>
      </c>
      <c r="K141" s="11">
        <v>21600</v>
      </c>
      <c r="L141" s="11">
        <v>21300</v>
      </c>
      <c r="M141" s="11">
        <v>21200</v>
      </c>
      <c r="N141" s="11">
        <v>21300</v>
      </c>
      <c r="O141" s="12">
        <v>21200</v>
      </c>
    </row>
    <row r="142" spans="1:15" ht="25.5">
      <c r="A142" s="74"/>
      <c r="B142" s="90" t="s">
        <v>35</v>
      </c>
      <c r="C142" s="11">
        <f t="shared" si="28"/>
        <v>52200</v>
      </c>
      <c r="D142" s="11">
        <v>4350</v>
      </c>
      <c r="E142" s="11">
        <v>4350</v>
      </c>
      <c r="F142" s="11">
        <v>4350</v>
      </c>
      <c r="G142" s="11">
        <v>4350</v>
      </c>
      <c r="H142" s="11">
        <v>4350</v>
      </c>
      <c r="I142" s="11">
        <v>4350</v>
      </c>
      <c r="J142" s="11">
        <v>4350</v>
      </c>
      <c r="K142" s="11">
        <v>4350</v>
      </c>
      <c r="L142" s="11">
        <v>4350</v>
      </c>
      <c r="M142" s="11">
        <v>4350</v>
      </c>
      <c r="N142" s="11">
        <v>4350</v>
      </c>
      <c r="O142" s="11">
        <v>4350</v>
      </c>
    </row>
    <row r="143" spans="1:15" ht="25.5">
      <c r="A143" s="74"/>
      <c r="B143" s="90" t="s">
        <v>36</v>
      </c>
      <c r="C143" s="11">
        <f t="shared" si="28"/>
        <v>0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25.5">
      <c r="A144" s="74"/>
      <c r="B144" s="90" t="s">
        <v>37</v>
      </c>
      <c r="C144" s="11">
        <f t="shared" si="28"/>
        <v>0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25.5">
      <c r="A145" s="74"/>
      <c r="B145" s="108" t="s">
        <v>263</v>
      </c>
      <c r="C145" s="11">
        <f t="shared" si="28"/>
        <v>9893.65</v>
      </c>
      <c r="D145" s="11"/>
      <c r="E145" s="11"/>
      <c r="F145" s="11"/>
      <c r="G145" s="11"/>
      <c r="H145" s="11"/>
      <c r="I145" s="11">
        <v>9893.65</v>
      </c>
      <c r="J145" s="11"/>
      <c r="K145" s="11"/>
      <c r="L145" s="11"/>
      <c r="M145" s="11"/>
      <c r="N145" s="11"/>
      <c r="O145" s="11"/>
    </row>
    <row r="146" spans="1:15" ht="25.5">
      <c r="A146" s="74"/>
      <c r="B146" s="90" t="s">
        <v>316</v>
      </c>
      <c r="C146" s="11">
        <f t="shared" si="28"/>
        <v>30000</v>
      </c>
      <c r="D146" s="11"/>
      <c r="E146" s="11"/>
      <c r="F146" s="11"/>
      <c r="G146" s="11"/>
      <c r="H146" s="11"/>
      <c r="I146" s="11"/>
      <c r="J146" s="11">
        <v>30000</v>
      </c>
      <c r="K146" s="11"/>
      <c r="L146" s="11"/>
      <c r="M146" s="11"/>
      <c r="N146" s="11"/>
      <c r="O146" s="11"/>
    </row>
    <row r="147" spans="1:15" ht="12.75">
      <c r="A147" s="67">
        <v>18</v>
      </c>
      <c r="B147" s="88" t="s">
        <v>39</v>
      </c>
      <c r="C147" s="69">
        <f t="shared" si="28"/>
        <v>307571.86999999994</v>
      </c>
      <c r="D147" s="69">
        <f>SUM(D148:D149)</f>
        <v>22296.51</v>
      </c>
      <c r="E147" s="69">
        <f aca="true" t="shared" si="49" ref="E147:O147">SUM(E148:E149)</f>
        <v>26086.92</v>
      </c>
      <c r="F147" s="69">
        <f t="shared" si="49"/>
        <v>26086.92</v>
      </c>
      <c r="G147" s="69">
        <f t="shared" si="49"/>
        <v>26086.92</v>
      </c>
      <c r="H147" s="69">
        <f t="shared" si="49"/>
        <v>26086.92</v>
      </c>
      <c r="I147" s="69">
        <f t="shared" si="49"/>
        <v>26086.92</v>
      </c>
      <c r="J147" s="69">
        <f t="shared" si="49"/>
        <v>26086.92</v>
      </c>
      <c r="K147" s="69">
        <f t="shared" si="49"/>
        <v>26082.92</v>
      </c>
      <c r="L147" s="69">
        <f t="shared" si="49"/>
        <v>0</v>
      </c>
      <c r="M147" s="69">
        <f t="shared" si="49"/>
        <v>26086.92</v>
      </c>
      <c r="N147" s="69">
        <f t="shared" si="49"/>
        <v>50497.08</v>
      </c>
      <c r="O147" s="69">
        <f t="shared" si="49"/>
        <v>26086.92</v>
      </c>
    </row>
    <row r="148" spans="1:15" ht="12.75">
      <c r="A148" s="74"/>
      <c r="B148" s="90" t="s">
        <v>40</v>
      </c>
      <c r="C148" s="11">
        <f t="shared" si="28"/>
        <v>283161.7099999999</v>
      </c>
      <c r="D148" s="11">
        <v>22296.51</v>
      </c>
      <c r="E148" s="12">
        <v>26086.92</v>
      </c>
      <c r="F148" s="12">
        <v>26086.92</v>
      </c>
      <c r="G148" s="12">
        <v>26086.92</v>
      </c>
      <c r="H148" s="12">
        <v>26086.92</v>
      </c>
      <c r="I148" s="11">
        <v>26086.92</v>
      </c>
      <c r="J148" s="11">
        <v>26086.92</v>
      </c>
      <c r="K148" s="11">
        <v>26082.92</v>
      </c>
      <c r="L148" s="11"/>
      <c r="M148" s="11">
        <v>26086.92</v>
      </c>
      <c r="N148" s="11">
        <v>26086.92</v>
      </c>
      <c r="O148" s="11">
        <v>26086.92</v>
      </c>
    </row>
    <row r="149" spans="1:15" ht="12.75">
      <c r="A149" s="74"/>
      <c r="B149" s="127" t="s">
        <v>354</v>
      </c>
      <c r="C149" s="11">
        <f t="shared" si="28"/>
        <v>24410.16</v>
      </c>
      <c r="D149" s="11"/>
      <c r="E149" s="11"/>
      <c r="F149" s="12"/>
      <c r="G149" s="12"/>
      <c r="H149" s="12"/>
      <c r="I149" s="11"/>
      <c r="J149" s="11"/>
      <c r="K149" s="11"/>
      <c r="L149" s="11"/>
      <c r="M149" s="11"/>
      <c r="N149" s="11">
        <v>24410.16</v>
      </c>
      <c r="O149" s="11"/>
    </row>
    <row r="150" spans="1:15" ht="38.25">
      <c r="A150" s="67">
        <v>19</v>
      </c>
      <c r="B150" s="68" t="s">
        <v>69</v>
      </c>
      <c r="C150" s="69">
        <f t="shared" si="28"/>
        <v>5966.32</v>
      </c>
      <c r="D150" s="91">
        <v>5966.32</v>
      </c>
      <c r="E150" s="91"/>
      <c r="F150" s="91"/>
      <c r="G150" s="91"/>
      <c r="H150" s="91"/>
      <c r="I150" s="69"/>
      <c r="J150" s="69"/>
      <c r="K150" s="69"/>
      <c r="L150" s="69"/>
      <c r="M150" s="69"/>
      <c r="N150" s="69"/>
      <c r="O150" s="69"/>
    </row>
    <row r="151" spans="1:15" ht="25.5">
      <c r="A151" s="67">
        <v>20</v>
      </c>
      <c r="B151" s="68" t="s">
        <v>41</v>
      </c>
      <c r="C151" s="69">
        <f t="shared" si="28"/>
        <v>13600</v>
      </c>
      <c r="D151" s="69"/>
      <c r="E151" s="91"/>
      <c r="F151" s="91">
        <v>5100</v>
      </c>
      <c r="G151" s="69"/>
      <c r="H151" s="69"/>
      <c r="I151" s="69"/>
      <c r="J151" s="69"/>
      <c r="K151" s="69"/>
      <c r="L151" s="69"/>
      <c r="M151" s="69">
        <v>3400</v>
      </c>
      <c r="N151" s="69"/>
      <c r="O151" s="69">
        <v>5100</v>
      </c>
    </row>
    <row r="152" spans="1:15" ht="12.75">
      <c r="A152" s="67">
        <v>22</v>
      </c>
      <c r="B152" s="68" t="s">
        <v>259</v>
      </c>
      <c r="C152" s="69">
        <f t="shared" si="28"/>
        <v>59080</v>
      </c>
      <c r="D152" s="92">
        <f>SUM(D153:D154)</f>
        <v>4830</v>
      </c>
      <c r="E152" s="92">
        <f aca="true" t="shared" si="50" ref="E152:O152">SUM(E153:E154)</f>
        <v>4830</v>
      </c>
      <c r="F152" s="92">
        <f t="shared" si="50"/>
        <v>4830</v>
      </c>
      <c r="G152" s="92">
        <f t="shared" si="50"/>
        <v>4830</v>
      </c>
      <c r="H152" s="92">
        <f t="shared" si="50"/>
        <v>5950</v>
      </c>
      <c r="I152" s="92">
        <f t="shared" si="50"/>
        <v>4830</v>
      </c>
      <c r="J152" s="92">
        <f t="shared" si="50"/>
        <v>4830</v>
      </c>
      <c r="K152" s="92">
        <f t="shared" si="50"/>
        <v>4830</v>
      </c>
      <c r="L152" s="92">
        <f t="shared" si="50"/>
        <v>4830</v>
      </c>
      <c r="M152" s="92">
        <f t="shared" si="50"/>
        <v>4830</v>
      </c>
      <c r="N152" s="92">
        <f t="shared" si="50"/>
        <v>4830</v>
      </c>
      <c r="O152" s="92">
        <f t="shared" si="50"/>
        <v>4830</v>
      </c>
    </row>
    <row r="153" spans="1:15" ht="12.75">
      <c r="A153" s="67"/>
      <c r="B153" s="90" t="s">
        <v>260</v>
      </c>
      <c r="C153" s="11">
        <f t="shared" si="28"/>
        <v>57960</v>
      </c>
      <c r="D153" s="11">
        <v>4830</v>
      </c>
      <c r="E153" s="11">
        <v>4830</v>
      </c>
      <c r="F153" s="11">
        <v>4830</v>
      </c>
      <c r="G153" s="11">
        <v>4830</v>
      </c>
      <c r="H153" s="12">
        <v>4830</v>
      </c>
      <c r="I153" s="11">
        <v>4830</v>
      </c>
      <c r="J153" s="11">
        <v>4830</v>
      </c>
      <c r="K153" s="11">
        <v>4830</v>
      </c>
      <c r="L153" s="11">
        <v>4830</v>
      </c>
      <c r="M153" s="11">
        <v>4830</v>
      </c>
      <c r="N153" s="11">
        <v>4830</v>
      </c>
      <c r="O153" s="11">
        <v>4830</v>
      </c>
    </row>
    <row r="154" spans="1:15" ht="12.75">
      <c r="A154" s="67"/>
      <c r="B154" s="90" t="s">
        <v>261</v>
      </c>
      <c r="C154" s="11">
        <f t="shared" si="28"/>
        <v>1120</v>
      </c>
      <c r="D154" s="11"/>
      <c r="E154" s="11"/>
      <c r="F154" s="11"/>
      <c r="G154" s="11"/>
      <c r="H154" s="12">
        <v>1120</v>
      </c>
      <c r="I154" s="11"/>
      <c r="J154" s="69"/>
      <c r="K154" s="69"/>
      <c r="L154" s="69"/>
      <c r="M154" s="69"/>
      <c r="N154" s="69"/>
      <c r="O154" s="69"/>
    </row>
    <row r="155" spans="1:15" ht="25.5">
      <c r="A155" s="67">
        <v>23</v>
      </c>
      <c r="B155" s="68" t="s">
        <v>42</v>
      </c>
      <c r="C155" s="69">
        <f t="shared" si="28"/>
        <v>35409.840000000004</v>
      </c>
      <c r="D155" s="69">
        <v>2950.82</v>
      </c>
      <c r="E155" s="69">
        <v>2950.82</v>
      </c>
      <c r="F155" s="69">
        <v>2950.82</v>
      </c>
      <c r="G155" s="69">
        <v>2950.82</v>
      </c>
      <c r="H155" s="69">
        <v>2950.82</v>
      </c>
      <c r="I155" s="69">
        <v>2950.82</v>
      </c>
      <c r="J155" s="69">
        <v>2950.82</v>
      </c>
      <c r="K155" s="69">
        <v>2950.82</v>
      </c>
      <c r="L155" s="69">
        <v>2950.82</v>
      </c>
      <c r="M155" s="69">
        <v>2950.82</v>
      </c>
      <c r="N155" s="69">
        <v>2950.82</v>
      </c>
      <c r="O155" s="69">
        <v>2950.82</v>
      </c>
    </row>
    <row r="156" spans="1:15" ht="25.5">
      <c r="A156" s="67">
        <v>24</v>
      </c>
      <c r="B156" s="68" t="s">
        <v>45</v>
      </c>
      <c r="C156" s="69">
        <f t="shared" si="28"/>
        <v>15658.51</v>
      </c>
      <c r="D156" s="69">
        <f aca="true" t="shared" si="51" ref="D156:O156">SUM(D157:D157)</f>
        <v>598.42</v>
      </c>
      <c r="E156" s="69">
        <f t="shared" si="51"/>
        <v>1106.46</v>
      </c>
      <c r="F156" s="69">
        <f t="shared" si="51"/>
        <v>1774.46</v>
      </c>
      <c r="G156" s="69">
        <f t="shared" si="51"/>
        <v>1299.47</v>
      </c>
      <c r="H156" s="69">
        <f t="shared" si="51"/>
        <v>1340.42</v>
      </c>
      <c r="I156" s="69">
        <f t="shared" si="51"/>
        <v>1762.22</v>
      </c>
      <c r="J156" s="69">
        <f t="shared" si="51"/>
        <v>1136.17</v>
      </c>
      <c r="K156" s="69">
        <f t="shared" si="51"/>
        <v>1247.47</v>
      </c>
      <c r="L156" s="69">
        <f t="shared" si="51"/>
        <v>1582.5</v>
      </c>
      <c r="M156" s="69">
        <f t="shared" si="51"/>
        <v>1018.6</v>
      </c>
      <c r="N156" s="69">
        <f t="shared" si="51"/>
        <v>1098.59</v>
      </c>
      <c r="O156" s="69">
        <f t="shared" si="51"/>
        <v>1693.73</v>
      </c>
    </row>
    <row r="157" spans="1:15" ht="12.75">
      <c r="A157" s="67"/>
      <c r="B157" s="90" t="s">
        <v>48</v>
      </c>
      <c r="C157" s="11">
        <f t="shared" si="28"/>
        <v>15658.51</v>
      </c>
      <c r="D157" s="11">
        <v>598.42</v>
      </c>
      <c r="E157" s="12">
        <v>1106.46</v>
      </c>
      <c r="F157" s="11">
        <v>1774.46</v>
      </c>
      <c r="G157" s="11">
        <v>1299.47</v>
      </c>
      <c r="H157" s="11">
        <v>1340.42</v>
      </c>
      <c r="I157" s="11">
        <v>1762.22</v>
      </c>
      <c r="J157" s="11">
        <v>1136.17</v>
      </c>
      <c r="K157" s="11">
        <v>1247.47</v>
      </c>
      <c r="L157" s="11">
        <v>1582.5</v>
      </c>
      <c r="M157" s="11">
        <v>1018.6</v>
      </c>
      <c r="N157" s="11">
        <v>1098.59</v>
      </c>
      <c r="O157" s="11">
        <v>1693.73</v>
      </c>
    </row>
    <row r="158" spans="1:15" ht="12.75">
      <c r="A158" s="67">
        <v>25</v>
      </c>
      <c r="B158" s="68" t="s">
        <v>251</v>
      </c>
      <c r="C158" s="69">
        <f t="shared" si="28"/>
        <v>122501.94</v>
      </c>
      <c r="D158" s="69">
        <f>SUM(D159:D163)</f>
        <v>0</v>
      </c>
      <c r="E158" s="69">
        <f aca="true" t="shared" si="52" ref="E158:O158">SUM(E159:E163)</f>
        <v>0</v>
      </c>
      <c r="F158" s="69">
        <f t="shared" si="52"/>
        <v>0</v>
      </c>
      <c r="G158" s="69">
        <f t="shared" si="52"/>
        <v>8600</v>
      </c>
      <c r="H158" s="69">
        <f t="shared" si="52"/>
        <v>0</v>
      </c>
      <c r="I158" s="69">
        <f t="shared" si="52"/>
        <v>0</v>
      </c>
      <c r="J158" s="69">
        <f t="shared" si="52"/>
        <v>0</v>
      </c>
      <c r="K158" s="69">
        <f t="shared" si="52"/>
        <v>0</v>
      </c>
      <c r="L158" s="69">
        <f t="shared" si="52"/>
        <v>70272.25</v>
      </c>
      <c r="M158" s="69">
        <f t="shared" si="52"/>
        <v>2200</v>
      </c>
      <c r="N158" s="69">
        <f t="shared" si="52"/>
        <v>41429.69</v>
      </c>
      <c r="O158" s="69">
        <f t="shared" si="52"/>
        <v>0</v>
      </c>
    </row>
    <row r="159" spans="1:15" ht="25.5">
      <c r="A159" s="67"/>
      <c r="B159" s="90" t="s">
        <v>365</v>
      </c>
      <c r="C159" s="11">
        <f t="shared" si="28"/>
        <v>8600</v>
      </c>
      <c r="D159" s="69"/>
      <c r="E159" s="69"/>
      <c r="F159" s="69"/>
      <c r="G159" s="11">
        <v>8600</v>
      </c>
      <c r="H159" s="69"/>
      <c r="I159" s="69"/>
      <c r="J159" s="69"/>
      <c r="K159" s="69"/>
      <c r="L159" s="69"/>
      <c r="M159" s="69"/>
      <c r="N159" s="69"/>
      <c r="O159" s="69"/>
    </row>
    <row r="160" spans="1:15" ht="12.75">
      <c r="A160" s="67"/>
      <c r="B160" s="90" t="s">
        <v>366</v>
      </c>
      <c r="C160" s="11">
        <f t="shared" si="28"/>
        <v>6000</v>
      </c>
      <c r="D160" s="69"/>
      <c r="E160" s="69"/>
      <c r="F160" s="69"/>
      <c r="G160" s="11"/>
      <c r="H160" s="69"/>
      <c r="I160" s="69"/>
      <c r="J160" s="69"/>
      <c r="K160" s="69"/>
      <c r="L160" s="69"/>
      <c r="M160" s="69"/>
      <c r="N160" s="11">
        <v>6000</v>
      </c>
      <c r="O160" s="69"/>
    </row>
    <row r="161" spans="1:15" ht="63.75">
      <c r="A161" s="67"/>
      <c r="B161" s="90" t="s">
        <v>363</v>
      </c>
      <c r="C161" s="11">
        <f t="shared" si="28"/>
        <v>33229.69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11">
        <v>33229.69</v>
      </c>
      <c r="O161" s="69"/>
    </row>
    <row r="162" spans="1:15" ht="51">
      <c r="A162" s="67"/>
      <c r="B162" s="90" t="s">
        <v>358</v>
      </c>
      <c r="C162" s="11">
        <f t="shared" si="28"/>
        <v>4400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11">
        <v>2200</v>
      </c>
      <c r="N162" s="11">
        <v>2200</v>
      </c>
      <c r="O162" s="69"/>
    </row>
    <row r="163" spans="1:15" ht="89.25">
      <c r="A163" s="67"/>
      <c r="B163" s="90" t="s">
        <v>320</v>
      </c>
      <c r="C163" s="11">
        <f t="shared" si="28"/>
        <v>70272.25</v>
      </c>
      <c r="D163" s="69"/>
      <c r="E163" s="69"/>
      <c r="F163" s="69"/>
      <c r="G163" s="69"/>
      <c r="H163" s="69"/>
      <c r="I163" s="69"/>
      <c r="J163" s="69"/>
      <c r="K163" s="69"/>
      <c r="L163" s="11">
        <v>70272.25</v>
      </c>
      <c r="M163" s="11"/>
      <c r="N163" s="11"/>
      <c r="O163" s="69"/>
    </row>
    <row r="164" spans="1:15" ht="38.25">
      <c r="A164" s="67">
        <v>26</v>
      </c>
      <c r="B164" s="68" t="s">
        <v>46</v>
      </c>
      <c r="C164" s="69">
        <f t="shared" si="28"/>
        <v>1200</v>
      </c>
      <c r="D164" s="69">
        <v>100</v>
      </c>
      <c r="E164" s="69">
        <v>100</v>
      </c>
      <c r="F164" s="69">
        <v>100</v>
      </c>
      <c r="G164" s="69">
        <v>100</v>
      </c>
      <c r="H164" s="69">
        <v>100</v>
      </c>
      <c r="I164" s="69">
        <v>100</v>
      </c>
      <c r="J164" s="69">
        <v>100</v>
      </c>
      <c r="K164" s="69">
        <v>100</v>
      </c>
      <c r="L164" s="69">
        <v>100</v>
      </c>
      <c r="M164" s="69">
        <v>100</v>
      </c>
      <c r="N164" s="69">
        <v>100</v>
      </c>
      <c r="O164" s="69">
        <v>100</v>
      </c>
    </row>
    <row r="165" spans="1:15" ht="38.25">
      <c r="A165" s="67">
        <v>27</v>
      </c>
      <c r="B165" s="68" t="s">
        <v>43</v>
      </c>
      <c r="C165" s="69">
        <f t="shared" si="28"/>
        <v>7528.56</v>
      </c>
      <c r="D165" s="69">
        <v>627.38</v>
      </c>
      <c r="E165" s="69">
        <v>627.38</v>
      </c>
      <c r="F165" s="69">
        <v>627.38</v>
      </c>
      <c r="G165" s="69">
        <v>627.38</v>
      </c>
      <c r="H165" s="69">
        <v>627.38</v>
      </c>
      <c r="I165" s="69">
        <v>627.38</v>
      </c>
      <c r="J165" s="69">
        <v>627.38</v>
      </c>
      <c r="K165" s="69">
        <v>627.38</v>
      </c>
      <c r="L165" s="69">
        <v>627.38</v>
      </c>
      <c r="M165" s="69">
        <v>627.38</v>
      </c>
      <c r="N165" s="69">
        <v>627.38</v>
      </c>
      <c r="O165" s="69">
        <v>627.38</v>
      </c>
    </row>
    <row r="166" spans="1:15" ht="38.25">
      <c r="A166" s="67">
        <v>28</v>
      </c>
      <c r="B166" s="68" t="s">
        <v>258</v>
      </c>
      <c r="C166" s="69">
        <f t="shared" si="28"/>
        <v>8316</v>
      </c>
      <c r="D166" s="69"/>
      <c r="E166" s="69"/>
      <c r="F166" s="69"/>
      <c r="G166" s="69"/>
      <c r="H166" s="69">
        <v>8316</v>
      </c>
      <c r="I166" s="69"/>
      <c r="J166" s="69"/>
      <c r="K166" s="69"/>
      <c r="L166" s="69"/>
      <c r="M166" s="69"/>
      <c r="N166" s="69"/>
      <c r="O166" s="69"/>
    </row>
    <row r="167" spans="1:15" ht="25.5">
      <c r="A167" s="67">
        <v>29</v>
      </c>
      <c r="B167" s="68" t="s">
        <v>266</v>
      </c>
      <c r="C167" s="69">
        <f t="shared" si="28"/>
        <v>9600</v>
      </c>
      <c r="D167" s="69"/>
      <c r="E167" s="69"/>
      <c r="F167" s="69"/>
      <c r="G167" s="69"/>
      <c r="H167" s="69"/>
      <c r="I167" s="69">
        <v>9600</v>
      </c>
      <c r="J167" s="69"/>
      <c r="K167" s="69"/>
      <c r="L167" s="69"/>
      <c r="M167" s="69"/>
      <c r="N167" s="69"/>
      <c r="O167" s="69"/>
    </row>
    <row r="168" spans="1:15" ht="38.25">
      <c r="A168" s="67">
        <v>30</v>
      </c>
      <c r="B168" s="68" t="s">
        <v>44</v>
      </c>
      <c r="C168" s="69">
        <f t="shared" si="28"/>
        <v>0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</row>
    <row r="169" spans="1:15" ht="25.5">
      <c r="A169" s="67">
        <v>31</v>
      </c>
      <c r="B169" s="68" t="s">
        <v>47</v>
      </c>
      <c r="C169" s="69">
        <f t="shared" si="28"/>
        <v>9685</v>
      </c>
      <c r="D169" s="69">
        <f>SUM(D170:D172)</f>
        <v>2800</v>
      </c>
      <c r="E169" s="69">
        <f aca="true" t="shared" si="53" ref="E169:O169">SUM(E170:E172)</f>
        <v>0</v>
      </c>
      <c r="F169" s="69">
        <f t="shared" si="53"/>
        <v>0</v>
      </c>
      <c r="G169" s="69">
        <f t="shared" si="53"/>
        <v>1955</v>
      </c>
      <c r="H169" s="69">
        <f t="shared" si="53"/>
        <v>0</v>
      </c>
      <c r="I169" s="69">
        <f t="shared" si="53"/>
        <v>0</v>
      </c>
      <c r="J169" s="69">
        <f t="shared" si="53"/>
        <v>0</v>
      </c>
      <c r="K169" s="69">
        <f t="shared" si="53"/>
        <v>0</v>
      </c>
      <c r="L169" s="69">
        <f t="shared" si="53"/>
        <v>4930</v>
      </c>
      <c r="M169" s="69">
        <f t="shared" si="53"/>
        <v>0</v>
      </c>
      <c r="N169" s="69">
        <f t="shared" si="53"/>
        <v>0</v>
      </c>
      <c r="O169" s="69">
        <f t="shared" si="53"/>
        <v>0</v>
      </c>
    </row>
    <row r="170" spans="1:15" ht="25.5">
      <c r="A170" s="74"/>
      <c r="B170" s="90" t="s">
        <v>321</v>
      </c>
      <c r="C170" s="11">
        <f t="shared" si="28"/>
        <v>4930</v>
      </c>
      <c r="D170" s="11"/>
      <c r="E170" s="11"/>
      <c r="F170" s="12"/>
      <c r="G170" s="11"/>
      <c r="H170" s="11"/>
      <c r="I170" s="11"/>
      <c r="J170" s="11"/>
      <c r="K170" s="11"/>
      <c r="L170" s="11">
        <v>4930</v>
      </c>
      <c r="M170" s="11"/>
      <c r="N170" s="11"/>
      <c r="O170" s="11"/>
    </row>
    <row r="171" spans="1:15" ht="25.5">
      <c r="A171" s="74"/>
      <c r="B171" s="90" t="s">
        <v>49</v>
      </c>
      <c r="C171" s="11">
        <f t="shared" si="28"/>
        <v>2800</v>
      </c>
      <c r="D171" s="11">
        <v>2800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25.5">
      <c r="A172" s="74"/>
      <c r="B172" s="90" t="s">
        <v>50</v>
      </c>
      <c r="C172" s="11">
        <f t="shared" si="28"/>
        <v>1955</v>
      </c>
      <c r="D172" s="11"/>
      <c r="E172" s="11"/>
      <c r="F172" s="11"/>
      <c r="G172" s="11">
        <v>1955</v>
      </c>
      <c r="H172" s="11"/>
      <c r="I172" s="11"/>
      <c r="J172" s="11"/>
      <c r="K172" s="11"/>
      <c r="L172" s="11"/>
      <c r="M172" s="11"/>
      <c r="N172" s="11"/>
      <c r="O172" s="11"/>
    </row>
    <row r="173" spans="1:15" ht="38.25">
      <c r="A173" s="67">
        <v>32</v>
      </c>
      <c r="B173" s="68" t="s">
        <v>323</v>
      </c>
      <c r="C173" s="69">
        <f t="shared" si="28"/>
        <v>1724.28</v>
      </c>
      <c r="D173" s="69"/>
      <c r="E173" s="69"/>
      <c r="F173" s="69"/>
      <c r="G173" s="69"/>
      <c r="H173" s="69"/>
      <c r="I173" s="69"/>
      <c r="J173" s="69"/>
      <c r="K173" s="69"/>
      <c r="L173" s="69">
        <v>1724.28</v>
      </c>
      <c r="M173" s="69"/>
      <c r="N173" s="69"/>
      <c r="O173" s="69"/>
    </row>
    <row r="174" spans="1:15" s="64" customFormat="1" ht="25.5">
      <c r="A174" s="67">
        <v>33</v>
      </c>
      <c r="B174" s="68" t="s">
        <v>317</v>
      </c>
      <c r="C174" s="69">
        <f t="shared" si="28"/>
        <v>726</v>
      </c>
      <c r="D174" s="69"/>
      <c r="E174" s="69"/>
      <c r="F174" s="69"/>
      <c r="G174" s="69"/>
      <c r="H174" s="69"/>
      <c r="I174" s="69"/>
      <c r="J174" s="69"/>
      <c r="K174" s="69">
        <v>726</v>
      </c>
      <c r="L174" s="69"/>
      <c r="M174" s="69"/>
      <c r="N174" s="69"/>
      <c r="O174" s="69"/>
    </row>
    <row r="175" spans="1:15" ht="12.75">
      <c r="A175" s="67">
        <v>34</v>
      </c>
      <c r="B175" s="68" t="s">
        <v>252</v>
      </c>
      <c r="C175" s="69">
        <f t="shared" si="28"/>
        <v>4975.58</v>
      </c>
      <c r="D175" s="69"/>
      <c r="E175" s="69"/>
      <c r="F175" s="69"/>
      <c r="G175" s="69">
        <v>196.91</v>
      </c>
      <c r="H175" s="69">
        <v>535.05</v>
      </c>
      <c r="I175" s="69">
        <v>567.2</v>
      </c>
      <c r="J175" s="69">
        <v>569.14</v>
      </c>
      <c r="K175" s="69">
        <v>498.21</v>
      </c>
      <c r="L175" s="69">
        <v>669.35</v>
      </c>
      <c r="M175" s="69">
        <v>633.53</v>
      </c>
      <c r="N175" s="69">
        <v>622.55</v>
      </c>
      <c r="O175" s="69">
        <v>683.64</v>
      </c>
    </row>
    <row r="176" spans="1:15" ht="25.5">
      <c r="A176" s="67">
        <v>35</v>
      </c>
      <c r="B176" s="68" t="s">
        <v>51</v>
      </c>
      <c r="C176" s="69">
        <f t="shared" si="28"/>
        <v>1673.28</v>
      </c>
      <c r="D176" s="69"/>
      <c r="E176" s="69"/>
      <c r="F176" s="69">
        <v>1673.28</v>
      </c>
      <c r="G176" s="69"/>
      <c r="H176" s="69"/>
      <c r="I176" s="69"/>
      <c r="J176" s="69"/>
      <c r="K176" s="69"/>
      <c r="L176" s="69"/>
      <c r="M176" s="69"/>
      <c r="N176" s="69"/>
      <c r="O176" s="69"/>
    </row>
    <row r="177" spans="1:15" ht="25.5">
      <c r="A177" s="67">
        <v>36</v>
      </c>
      <c r="B177" s="68" t="s">
        <v>249</v>
      </c>
      <c r="C177" s="69">
        <f>SUM(D177:O177)</f>
        <v>6977</v>
      </c>
      <c r="D177" s="69">
        <f>SUM(D178:D179)</f>
        <v>0</v>
      </c>
      <c r="E177" s="69">
        <f aca="true" t="shared" si="54" ref="E177:O177">SUM(E178:E179)</f>
        <v>0</v>
      </c>
      <c r="F177" s="69">
        <f t="shared" si="54"/>
        <v>0</v>
      </c>
      <c r="G177" s="69">
        <f t="shared" si="54"/>
        <v>3604</v>
      </c>
      <c r="H177" s="69">
        <f t="shared" si="54"/>
        <v>0</v>
      </c>
      <c r="I177" s="69">
        <f t="shared" si="54"/>
        <v>3373</v>
      </c>
      <c r="J177" s="69">
        <f t="shared" si="54"/>
        <v>0</v>
      </c>
      <c r="K177" s="69">
        <f t="shared" si="54"/>
        <v>0</v>
      </c>
      <c r="L177" s="69">
        <f t="shared" si="54"/>
        <v>0</v>
      </c>
      <c r="M177" s="69">
        <f t="shared" si="54"/>
        <v>0</v>
      </c>
      <c r="N177" s="69">
        <f t="shared" si="54"/>
        <v>0</v>
      </c>
      <c r="O177" s="69">
        <f t="shared" si="54"/>
        <v>0</v>
      </c>
    </row>
    <row r="178" spans="1:15" ht="12.75">
      <c r="A178" s="74"/>
      <c r="B178" s="90" t="s">
        <v>264</v>
      </c>
      <c r="C178" s="11">
        <f t="shared" si="28"/>
        <v>3604</v>
      </c>
      <c r="D178" s="11"/>
      <c r="E178" s="11"/>
      <c r="F178" s="11"/>
      <c r="G178" s="11">
        <v>3604</v>
      </c>
      <c r="H178" s="11"/>
      <c r="I178" s="11"/>
      <c r="J178" s="11"/>
      <c r="K178" s="11"/>
      <c r="L178" s="11"/>
      <c r="M178" s="11"/>
      <c r="N178" s="11"/>
      <c r="O178" s="11"/>
    </row>
    <row r="179" spans="1:15" ht="38.25">
      <c r="A179" s="74"/>
      <c r="B179" s="90" t="s">
        <v>265</v>
      </c>
      <c r="C179" s="11">
        <f t="shared" si="28"/>
        <v>3373</v>
      </c>
      <c r="D179" s="11"/>
      <c r="E179" s="11"/>
      <c r="F179" s="11"/>
      <c r="G179" s="11"/>
      <c r="H179" s="11"/>
      <c r="I179" s="11">
        <v>3373</v>
      </c>
      <c r="J179" s="11"/>
      <c r="K179" s="11"/>
      <c r="L179" s="11"/>
      <c r="M179" s="11"/>
      <c r="N179" s="11"/>
      <c r="O179" s="11"/>
    </row>
    <row r="180" spans="1:15" ht="25.5">
      <c r="A180" s="67">
        <v>37</v>
      </c>
      <c r="B180" s="68" t="s">
        <v>268</v>
      </c>
      <c r="C180" s="69">
        <f t="shared" si="28"/>
        <v>22728.489999999998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>
        <v>5682.12</v>
      </c>
      <c r="O180" s="69">
        <v>17046.37</v>
      </c>
    </row>
    <row r="181" spans="1:15" ht="25.5">
      <c r="A181" s="67">
        <v>38</v>
      </c>
      <c r="B181" s="68" t="s">
        <v>257</v>
      </c>
      <c r="C181" s="69">
        <f t="shared" si="28"/>
        <v>3490</v>
      </c>
      <c r="D181" s="69"/>
      <c r="E181" s="69"/>
      <c r="F181" s="69"/>
      <c r="G181" s="69"/>
      <c r="H181" s="69">
        <v>3490</v>
      </c>
      <c r="I181" s="69"/>
      <c r="J181" s="69"/>
      <c r="K181" s="69"/>
      <c r="L181" s="69"/>
      <c r="M181" s="69"/>
      <c r="N181" s="69"/>
      <c r="O181" s="69"/>
    </row>
    <row r="182" spans="1:15" ht="25.5">
      <c r="A182" s="67">
        <v>39</v>
      </c>
      <c r="B182" s="68" t="s">
        <v>52</v>
      </c>
      <c r="C182" s="69">
        <f t="shared" si="28"/>
        <v>49742.21</v>
      </c>
      <c r="D182" s="69">
        <f>SUM(D183:D184)</f>
        <v>0</v>
      </c>
      <c r="E182" s="69">
        <f aca="true" t="shared" si="55" ref="E182:O182">SUM(E183:E184)</f>
        <v>3109</v>
      </c>
      <c r="F182" s="69">
        <f t="shared" si="55"/>
        <v>0</v>
      </c>
      <c r="G182" s="69">
        <f t="shared" si="55"/>
        <v>13797</v>
      </c>
      <c r="H182" s="69">
        <f t="shared" si="55"/>
        <v>22263.21</v>
      </c>
      <c r="I182" s="69">
        <f t="shared" si="55"/>
        <v>1528.4</v>
      </c>
      <c r="J182" s="69">
        <f t="shared" si="55"/>
        <v>0</v>
      </c>
      <c r="K182" s="69">
        <f t="shared" si="55"/>
        <v>9044.6</v>
      </c>
      <c r="L182" s="69">
        <f t="shared" si="55"/>
        <v>0</v>
      </c>
      <c r="M182" s="69">
        <f t="shared" si="55"/>
        <v>0</v>
      </c>
      <c r="N182" s="69">
        <f t="shared" si="55"/>
        <v>0</v>
      </c>
      <c r="O182" s="69">
        <f t="shared" si="55"/>
        <v>0</v>
      </c>
    </row>
    <row r="183" spans="1:15" ht="12.75">
      <c r="A183" s="74"/>
      <c r="B183" s="90" t="s">
        <v>66</v>
      </c>
      <c r="C183" s="11">
        <f t="shared" si="28"/>
        <v>35945.21</v>
      </c>
      <c r="D183" s="11"/>
      <c r="E183" s="11">
        <v>3109</v>
      </c>
      <c r="F183" s="11"/>
      <c r="G183" s="11"/>
      <c r="H183" s="11">
        <f>8914+451.6+1736.6+863.9+225.61+488+366.2+8717.3+500</f>
        <v>22263.21</v>
      </c>
      <c r="I183" s="11">
        <v>1528.4</v>
      </c>
      <c r="J183" s="11"/>
      <c r="K183" s="11">
        <v>9044.6</v>
      </c>
      <c r="L183" s="11"/>
      <c r="M183" s="11"/>
      <c r="N183" s="11"/>
      <c r="O183" s="11"/>
    </row>
    <row r="184" spans="1:15" ht="12.75">
      <c r="A184" s="74"/>
      <c r="B184" s="90" t="s">
        <v>250</v>
      </c>
      <c r="C184" s="11">
        <f t="shared" si="28"/>
        <v>13797</v>
      </c>
      <c r="D184" s="11"/>
      <c r="E184" s="11"/>
      <c r="F184" s="11"/>
      <c r="G184" s="11">
        <v>13797</v>
      </c>
      <c r="H184" s="11"/>
      <c r="I184" s="11"/>
      <c r="J184" s="11"/>
      <c r="K184" s="11"/>
      <c r="L184" s="11"/>
      <c r="M184" s="11"/>
      <c r="N184" s="11"/>
      <c r="O184" s="11"/>
    </row>
    <row r="185" spans="1:15" ht="25.5">
      <c r="A185" s="67">
        <v>40</v>
      </c>
      <c r="B185" s="68" t="s">
        <v>331</v>
      </c>
      <c r="C185" s="69">
        <f t="shared" si="28"/>
        <v>10346</v>
      </c>
      <c r="D185" s="69"/>
      <c r="E185" s="69"/>
      <c r="F185" s="69"/>
      <c r="G185" s="69">
        <v>10346</v>
      </c>
      <c r="H185" s="69"/>
      <c r="I185" s="69"/>
      <c r="J185" s="69"/>
      <c r="K185" s="69"/>
      <c r="L185" s="69"/>
      <c r="M185" s="69"/>
      <c r="N185" s="69"/>
      <c r="O185" s="69"/>
    </row>
    <row r="186" spans="1:15" ht="25.5">
      <c r="A186" s="67">
        <v>41</v>
      </c>
      <c r="B186" s="68" t="s">
        <v>247</v>
      </c>
      <c r="C186" s="69">
        <f t="shared" si="28"/>
        <v>30450</v>
      </c>
      <c r="D186" s="69"/>
      <c r="E186" s="69"/>
      <c r="F186" s="69">
        <v>12600</v>
      </c>
      <c r="G186" s="69"/>
      <c r="H186" s="69"/>
      <c r="I186" s="69"/>
      <c r="J186" s="69"/>
      <c r="K186" s="69"/>
      <c r="L186" s="69"/>
      <c r="M186" s="69"/>
      <c r="N186" s="69"/>
      <c r="O186" s="69">
        <v>17850</v>
      </c>
    </row>
    <row r="187" spans="1:15" ht="38.25">
      <c r="A187" s="67">
        <v>42</v>
      </c>
      <c r="B187" s="68" t="s">
        <v>248</v>
      </c>
      <c r="C187" s="69">
        <f t="shared" si="28"/>
        <v>11000</v>
      </c>
      <c r="D187" s="69"/>
      <c r="E187" s="69"/>
      <c r="F187" s="69">
        <v>11000</v>
      </c>
      <c r="G187" s="69"/>
      <c r="H187" s="69"/>
      <c r="I187" s="69"/>
      <c r="J187" s="69"/>
      <c r="K187" s="69"/>
      <c r="L187" s="69"/>
      <c r="M187" s="69"/>
      <c r="N187" s="69"/>
      <c r="O187" s="69"/>
    </row>
    <row r="188" spans="1:15" ht="25.5">
      <c r="A188" s="67">
        <v>43</v>
      </c>
      <c r="B188" s="68" t="s">
        <v>54</v>
      </c>
      <c r="C188" s="69">
        <f t="shared" si="28"/>
        <v>36111.34</v>
      </c>
      <c r="D188" s="69"/>
      <c r="E188" s="69"/>
      <c r="F188" s="69">
        <f>10911.34+25200</f>
        <v>36111.34</v>
      </c>
      <c r="G188" s="69"/>
      <c r="H188" s="69"/>
      <c r="I188" s="69"/>
      <c r="J188" s="69"/>
      <c r="K188" s="69"/>
      <c r="L188" s="69"/>
      <c r="M188" s="69"/>
      <c r="N188" s="69"/>
      <c r="O188" s="69"/>
    </row>
    <row r="189" spans="1:15" ht="12.75">
      <c r="A189" s="67">
        <v>44</v>
      </c>
      <c r="B189" s="68" t="s">
        <v>318</v>
      </c>
      <c r="C189" s="69">
        <f t="shared" si="28"/>
        <v>30700</v>
      </c>
      <c r="D189" s="69">
        <f>D190+D191</f>
        <v>0</v>
      </c>
      <c r="E189" s="69">
        <f aca="true" t="shared" si="56" ref="E189:O189">E190+E191</f>
        <v>0</v>
      </c>
      <c r="F189" s="69">
        <f t="shared" si="56"/>
        <v>0</v>
      </c>
      <c r="G189" s="69">
        <f t="shared" si="56"/>
        <v>0</v>
      </c>
      <c r="H189" s="69">
        <f t="shared" si="56"/>
        <v>0</v>
      </c>
      <c r="I189" s="69">
        <f t="shared" si="56"/>
        <v>0</v>
      </c>
      <c r="J189" s="69">
        <f t="shared" si="56"/>
        <v>0</v>
      </c>
      <c r="K189" s="69">
        <f t="shared" si="56"/>
        <v>0</v>
      </c>
      <c r="L189" s="69">
        <f t="shared" si="56"/>
        <v>30700</v>
      </c>
      <c r="M189" s="69">
        <f t="shared" si="56"/>
        <v>0</v>
      </c>
      <c r="N189" s="69">
        <f t="shared" si="56"/>
        <v>0</v>
      </c>
      <c r="O189" s="69">
        <f t="shared" si="56"/>
        <v>0</v>
      </c>
    </row>
    <row r="190" spans="1:15" ht="12.75">
      <c r="A190" s="74"/>
      <c r="B190" s="90" t="s">
        <v>66</v>
      </c>
      <c r="C190" s="11">
        <f t="shared" si="28"/>
        <v>15700</v>
      </c>
      <c r="D190" s="11"/>
      <c r="E190" s="11"/>
      <c r="F190" s="11"/>
      <c r="G190" s="11"/>
      <c r="H190" s="11"/>
      <c r="I190" s="11"/>
      <c r="J190" s="11"/>
      <c r="K190" s="11"/>
      <c r="L190" s="11">
        <v>15700</v>
      </c>
      <c r="M190" s="11"/>
      <c r="N190" s="11"/>
      <c r="O190" s="11"/>
    </row>
    <row r="191" spans="1:15" ht="12.75">
      <c r="A191" s="74"/>
      <c r="B191" s="90" t="s">
        <v>319</v>
      </c>
      <c r="C191" s="11">
        <f t="shared" si="28"/>
        <v>15000</v>
      </c>
      <c r="D191" s="11"/>
      <c r="E191" s="11"/>
      <c r="F191" s="11"/>
      <c r="G191" s="11"/>
      <c r="H191" s="11"/>
      <c r="I191" s="11"/>
      <c r="J191" s="11"/>
      <c r="K191" s="11"/>
      <c r="L191" s="11">
        <v>15000</v>
      </c>
      <c r="M191" s="11"/>
      <c r="N191" s="11"/>
      <c r="O191" s="11"/>
    </row>
    <row r="192" spans="1:15" ht="25.5">
      <c r="A192" s="67">
        <v>45</v>
      </c>
      <c r="B192" s="68" t="s">
        <v>255</v>
      </c>
      <c r="C192" s="69">
        <f t="shared" si="28"/>
        <v>3660</v>
      </c>
      <c r="D192" s="69"/>
      <c r="E192" s="69"/>
      <c r="F192" s="69"/>
      <c r="G192" s="69"/>
      <c r="H192" s="69">
        <f>905+1615+1140</f>
        <v>3660</v>
      </c>
      <c r="I192" s="69"/>
      <c r="J192" s="69"/>
      <c r="K192" s="69"/>
      <c r="L192" s="69"/>
      <c r="M192" s="69"/>
      <c r="N192" s="69"/>
      <c r="O192" s="69"/>
    </row>
    <row r="193" spans="1:15" ht="25.5">
      <c r="A193" s="67">
        <v>46</v>
      </c>
      <c r="B193" s="68" t="s">
        <v>256</v>
      </c>
      <c r="C193" s="69">
        <f t="shared" si="28"/>
        <v>3332.8599999999997</v>
      </c>
      <c r="D193" s="69"/>
      <c r="E193" s="69"/>
      <c r="F193" s="69"/>
      <c r="G193" s="69"/>
      <c r="H193" s="69">
        <v>1684.26</v>
      </c>
      <c r="I193" s="69"/>
      <c r="J193" s="69"/>
      <c r="K193" s="69"/>
      <c r="L193" s="69"/>
      <c r="M193" s="69">
        <v>1648.6</v>
      </c>
      <c r="N193" s="69"/>
      <c r="O193" s="69"/>
    </row>
    <row r="194" spans="1:15" ht="12.75">
      <c r="A194" s="67">
        <v>47</v>
      </c>
      <c r="B194" s="68" t="s">
        <v>267</v>
      </c>
      <c r="C194" s="69">
        <f t="shared" si="28"/>
        <v>10740</v>
      </c>
      <c r="D194" s="69"/>
      <c r="E194" s="69"/>
      <c r="F194" s="69"/>
      <c r="G194" s="69"/>
      <c r="H194" s="69"/>
      <c r="I194" s="69">
        <v>10740</v>
      </c>
      <c r="J194" s="69"/>
      <c r="K194" s="69"/>
      <c r="L194" s="69"/>
      <c r="M194" s="69"/>
      <c r="N194" s="69"/>
      <c r="O194" s="69"/>
    </row>
    <row r="195" spans="1:15" ht="12.75">
      <c r="A195" s="67">
        <v>48</v>
      </c>
      <c r="B195" s="68" t="s">
        <v>325</v>
      </c>
      <c r="C195" s="69">
        <f aca="true" t="shared" si="57" ref="C195:C238">SUM(D195:O195)</f>
        <v>32756.8</v>
      </c>
      <c r="D195" s="69">
        <f>D196+D197</f>
        <v>0</v>
      </c>
      <c r="E195" s="69">
        <f aca="true" t="shared" si="58" ref="E195:O195">E196+E197</f>
        <v>0</v>
      </c>
      <c r="F195" s="69">
        <f t="shared" si="58"/>
        <v>0</v>
      </c>
      <c r="G195" s="69">
        <f t="shared" si="58"/>
        <v>0</v>
      </c>
      <c r="H195" s="69">
        <f t="shared" si="58"/>
        <v>0</v>
      </c>
      <c r="I195" s="69">
        <f t="shared" si="58"/>
        <v>0</v>
      </c>
      <c r="J195" s="69">
        <f t="shared" si="58"/>
        <v>32461.8</v>
      </c>
      <c r="K195" s="69">
        <f t="shared" si="58"/>
        <v>0</v>
      </c>
      <c r="L195" s="69">
        <f t="shared" si="58"/>
        <v>0</v>
      </c>
      <c r="M195" s="69">
        <f t="shared" si="58"/>
        <v>0</v>
      </c>
      <c r="N195" s="69">
        <f t="shared" si="58"/>
        <v>295</v>
      </c>
      <c r="O195" s="69">
        <f t="shared" si="58"/>
        <v>0</v>
      </c>
    </row>
    <row r="196" spans="1:15" ht="12.75">
      <c r="A196" s="67"/>
      <c r="B196" s="90" t="s">
        <v>359</v>
      </c>
      <c r="C196" s="11">
        <f t="shared" si="57"/>
        <v>32461.8</v>
      </c>
      <c r="D196" s="69"/>
      <c r="E196" s="69"/>
      <c r="F196" s="69"/>
      <c r="G196" s="69"/>
      <c r="H196" s="69"/>
      <c r="I196" s="69"/>
      <c r="J196" s="11">
        <v>32461.8</v>
      </c>
      <c r="K196" s="69"/>
      <c r="L196" s="69"/>
      <c r="M196" s="69"/>
      <c r="N196" s="69"/>
      <c r="O196" s="69"/>
    </row>
    <row r="197" spans="1:15" ht="12.75">
      <c r="A197" s="67"/>
      <c r="B197" s="90" t="s">
        <v>324</v>
      </c>
      <c r="C197" s="11">
        <f t="shared" si="57"/>
        <v>295</v>
      </c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11">
        <v>295</v>
      </c>
      <c r="O197" s="69"/>
    </row>
    <row r="198" spans="1:15" ht="25.5">
      <c r="A198" s="67">
        <v>49</v>
      </c>
      <c r="B198" s="68" t="s">
        <v>53</v>
      </c>
      <c r="C198" s="69">
        <f t="shared" si="57"/>
        <v>6000</v>
      </c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>
        <v>6000</v>
      </c>
      <c r="O198" s="69"/>
    </row>
    <row r="199" spans="1:15" ht="12.75">
      <c r="A199" s="67">
        <v>50</v>
      </c>
      <c r="B199" s="68" t="s">
        <v>326</v>
      </c>
      <c r="C199" s="69">
        <f t="shared" si="57"/>
        <v>3800</v>
      </c>
      <c r="D199" s="69">
        <f>SUM(D200:D201)</f>
        <v>0</v>
      </c>
      <c r="E199" s="69">
        <f aca="true" t="shared" si="59" ref="E199:O199">SUM(E200:E201)</f>
        <v>0</v>
      </c>
      <c r="F199" s="69">
        <f t="shared" si="59"/>
        <v>0</v>
      </c>
      <c r="G199" s="69">
        <f t="shared" si="59"/>
        <v>0</v>
      </c>
      <c r="H199" s="69">
        <f t="shared" si="59"/>
        <v>0</v>
      </c>
      <c r="I199" s="69">
        <f t="shared" si="59"/>
        <v>0</v>
      </c>
      <c r="J199" s="69">
        <f t="shared" si="59"/>
        <v>0</v>
      </c>
      <c r="K199" s="69">
        <f t="shared" si="59"/>
        <v>0</v>
      </c>
      <c r="L199" s="69">
        <f t="shared" si="59"/>
        <v>0</v>
      </c>
      <c r="M199" s="69">
        <f t="shared" si="59"/>
        <v>0</v>
      </c>
      <c r="N199" s="69">
        <f t="shared" si="59"/>
        <v>3800</v>
      </c>
      <c r="O199" s="69">
        <f t="shared" si="59"/>
        <v>0</v>
      </c>
    </row>
    <row r="200" spans="1:15" ht="51">
      <c r="A200" s="67"/>
      <c r="B200" s="90" t="s">
        <v>327</v>
      </c>
      <c r="C200" s="11">
        <f t="shared" si="57"/>
        <v>2000</v>
      </c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11">
        <v>2000</v>
      </c>
      <c r="O200" s="69"/>
    </row>
    <row r="201" spans="1:15" ht="51">
      <c r="A201" s="67"/>
      <c r="B201" s="90" t="s">
        <v>328</v>
      </c>
      <c r="C201" s="11">
        <f t="shared" si="57"/>
        <v>1800</v>
      </c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11">
        <v>1800</v>
      </c>
      <c r="O201" s="69"/>
    </row>
    <row r="202" spans="1:15" ht="25.5">
      <c r="A202" s="67">
        <v>51</v>
      </c>
      <c r="B202" s="68" t="s">
        <v>243</v>
      </c>
      <c r="C202" s="69">
        <f>SUM(D202:O202)</f>
        <v>65600</v>
      </c>
      <c r="D202" s="69">
        <f>17200+13300</f>
        <v>30500</v>
      </c>
      <c r="E202" s="69"/>
      <c r="F202" s="69">
        <f>6300+7200</f>
        <v>13500</v>
      </c>
      <c r="G202" s="69"/>
      <c r="H202" s="69"/>
      <c r="I202" s="69"/>
      <c r="J202" s="69"/>
      <c r="K202" s="69"/>
      <c r="L202" s="69"/>
      <c r="M202" s="69"/>
      <c r="N202" s="69"/>
      <c r="O202" s="69">
        <f>16000+5600</f>
        <v>21600</v>
      </c>
    </row>
    <row r="203" spans="1:15" s="64" customFormat="1" ht="12.75">
      <c r="A203" s="67">
        <v>52</v>
      </c>
      <c r="B203" s="68" t="s">
        <v>244</v>
      </c>
      <c r="C203" s="69">
        <f>SUM(D203:O203)</f>
        <v>13112.12</v>
      </c>
      <c r="D203" s="69">
        <f>SUM(D204:D205)</f>
        <v>2814.54</v>
      </c>
      <c r="E203" s="69">
        <f aca="true" t="shared" si="60" ref="E203:O203">SUM(E204:E205)</f>
        <v>0</v>
      </c>
      <c r="F203" s="69">
        <f t="shared" si="60"/>
        <v>0</v>
      </c>
      <c r="G203" s="69">
        <f t="shared" si="60"/>
        <v>0</v>
      </c>
      <c r="H203" s="69">
        <f t="shared" si="60"/>
        <v>6053</v>
      </c>
      <c r="I203" s="69">
        <f t="shared" si="60"/>
        <v>4244.58</v>
      </c>
      <c r="J203" s="69">
        <f t="shared" si="60"/>
        <v>0</v>
      </c>
      <c r="K203" s="69">
        <f t="shared" si="60"/>
        <v>0</v>
      </c>
      <c r="L203" s="69">
        <f t="shared" si="60"/>
        <v>0</v>
      </c>
      <c r="M203" s="69">
        <f t="shared" si="60"/>
        <v>0</v>
      </c>
      <c r="N203" s="69">
        <f t="shared" si="60"/>
        <v>0</v>
      </c>
      <c r="O203" s="69">
        <f t="shared" si="60"/>
        <v>0</v>
      </c>
    </row>
    <row r="204" spans="1:15" ht="12.75">
      <c r="A204" s="74"/>
      <c r="B204" s="90" t="s">
        <v>65</v>
      </c>
      <c r="C204" s="11">
        <f>SUM(D204:O204)</f>
        <v>7059.12</v>
      </c>
      <c r="D204" s="11">
        <v>2814.54</v>
      </c>
      <c r="E204" s="11"/>
      <c r="F204" s="11"/>
      <c r="G204" s="11"/>
      <c r="H204" s="11"/>
      <c r="I204" s="11">
        <v>4244.58</v>
      </c>
      <c r="J204" s="11"/>
      <c r="K204" s="11"/>
      <c r="L204" s="11"/>
      <c r="M204" s="11"/>
      <c r="N204" s="11"/>
      <c r="O204" s="11"/>
    </row>
    <row r="205" spans="1:15" ht="12.75">
      <c r="A205" s="74"/>
      <c r="B205" s="90" t="s">
        <v>262</v>
      </c>
      <c r="C205" s="11">
        <f>SUM(D205:O205)</f>
        <v>6053</v>
      </c>
      <c r="D205" s="11"/>
      <c r="E205" s="11"/>
      <c r="F205" s="11"/>
      <c r="G205" s="11"/>
      <c r="H205" s="11">
        <v>6053</v>
      </c>
      <c r="I205" s="11"/>
      <c r="J205" s="11"/>
      <c r="K205" s="11"/>
      <c r="L205" s="11"/>
      <c r="M205" s="11"/>
      <c r="N205" s="11"/>
      <c r="O205" s="11"/>
    </row>
    <row r="206" spans="1:15" s="64" customFormat="1" ht="25.5">
      <c r="A206" s="67">
        <v>53</v>
      </c>
      <c r="B206" s="68" t="s">
        <v>245</v>
      </c>
      <c r="C206" s="69">
        <f t="shared" si="57"/>
        <v>31536</v>
      </c>
      <c r="D206" s="69">
        <v>2628</v>
      </c>
      <c r="E206" s="69">
        <v>2628</v>
      </c>
      <c r="F206" s="69">
        <v>2628</v>
      </c>
      <c r="G206" s="69">
        <v>2628</v>
      </c>
      <c r="H206" s="69">
        <v>2628</v>
      </c>
      <c r="I206" s="69">
        <v>2628</v>
      </c>
      <c r="J206" s="69">
        <v>2628</v>
      </c>
      <c r="K206" s="69">
        <v>2628</v>
      </c>
      <c r="L206" s="69">
        <v>2628</v>
      </c>
      <c r="M206" s="69">
        <v>2628</v>
      </c>
      <c r="N206" s="69">
        <v>2628</v>
      </c>
      <c r="O206" s="69">
        <v>2628</v>
      </c>
    </row>
    <row r="207" spans="1:15" s="64" customFormat="1" ht="12.75">
      <c r="A207" s="67">
        <v>54</v>
      </c>
      <c r="B207" s="68" t="s">
        <v>246</v>
      </c>
      <c r="C207" s="69">
        <f t="shared" si="57"/>
        <v>2000</v>
      </c>
      <c r="D207" s="69"/>
      <c r="E207" s="69"/>
      <c r="F207" s="69">
        <v>2000</v>
      </c>
      <c r="G207" s="69"/>
      <c r="H207" s="69"/>
      <c r="I207" s="69"/>
      <c r="J207" s="69"/>
      <c r="K207" s="69"/>
      <c r="L207" s="69"/>
      <c r="M207" s="69"/>
      <c r="N207" s="69"/>
      <c r="O207" s="69"/>
    </row>
    <row r="208" spans="1:15" ht="25.5">
      <c r="A208" s="67">
        <v>55</v>
      </c>
      <c r="B208" s="68" t="s">
        <v>322</v>
      </c>
      <c r="C208" s="69">
        <f t="shared" si="57"/>
        <v>9100</v>
      </c>
      <c r="D208" s="69"/>
      <c r="E208" s="69"/>
      <c r="F208" s="69"/>
      <c r="G208" s="69"/>
      <c r="H208" s="69"/>
      <c r="I208" s="69"/>
      <c r="J208" s="69"/>
      <c r="K208" s="69"/>
      <c r="L208" s="69">
        <v>9100</v>
      </c>
      <c r="M208" s="69"/>
      <c r="N208" s="69"/>
      <c r="O208" s="69"/>
    </row>
    <row r="209" spans="1:15" ht="25.5">
      <c r="A209" s="67">
        <v>56</v>
      </c>
      <c r="B209" s="68" t="s">
        <v>353</v>
      </c>
      <c r="C209" s="88">
        <f t="shared" si="57"/>
        <v>38000</v>
      </c>
      <c r="D209" s="88">
        <v>0</v>
      </c>
      <c r="E209" s="88">
        <v>0</v>
      </c>
      <c r="F209" s="88">
        <v>0</v>
      </c>
      <c r="G209" s="88">
        <v>0</v>
      </c>
      <c r="H209" s="88">
        <v>0</v>
      </c>
      <c r="I209" s="88">
        <v>0</v>
      </c>
      <c r="J209" s="88">
        <v>0</v>
      </c>
      <c r="K209" s="88">
        <v>0</v>
      </c>
      <c r="L209" s="88">
        <v>0</v>
      </c>
      <c r="M209" s="88">
        <v>0</v>
      </c>
      <c r="N209" s="88">
        <v>0</v>
      </c>
      <c r="O209" s="88">
        <v>38000</v>
      </c>
    </row>
    <row r="210" spans="1:15" s="64" customFormat="1" ht="51">
      <c r="A210" s="67">
        <v>57</v>
      </c>
      <c r="B210" s="109" t="s">
        <v>360</v>
      </c>
      <c r="C210" s="69">
        <f t="shared" si="57"/>
        <v>43959.740000000005</v>
      </c>
      <c r="D210" s="69"/>
      <c r="E210" s="69"/>
      <c r="F210" s="69"/>
      <c r="G210" s="69"/>
      <c r="H210" s="69"/>
      <c r="I210" s="69">
        <v>39758.22</v>
      </c>
      <c r="J210" s="69"/>
      <c r="K210" s="69">
        <v>1036.68</v>
      </c>
      <c r="L210" s="69">
        <f>1461.6+1703.24</f>
        <v>3164.84</v>
      </c>
      <c r="M210" s="69"/>
      <c r="N210" s="69"/>
      <c r="O210" s="69"/>
    </row>
    <row r="211" spans="1:15" ht="13.5" customHeight="1">
      <c r="A211" s="67">
        <v>58</v>
      </c>
      <c r="B211" s="68" t="s">
        <v>61</v>
      </c>
      <c r="C211" s="69">
        <f>SUM(D211:O211)</f>
        <v>146489.12</v>
      </c>
      <c r="D211" s="69">
        <f aca="true" t="shared" si="61" ref="D211:O211">SUM(D212:D232)</f>
        <v>6366.5</v>
      </c>
      <c r="E211" s="69">
        <f t="shared" si="61"/>
        <v>11050.8</v>
      </c>
      <c r="F211" s="69">
        <f t="shared" si="61"/>
        <v>17929.06</v>
      </c>
      <c r="G211" s="69">
        <f t="shared" si="61"/>
        <v>23420</v>
      </c>
      <c r="H211" s="69">
        <f t="shared" si="61"/>
        <v>9558.7</v>
      </c>
      <c r="I211" s="69">
        <f t="shared" si="61"/>
        <v>16378.8</v>
      </c>
      <c r="J211" s="69">
        <f t="shared" si="61"/>
        <v>7276.6</v>
      </c>
      <c r="K211" s="69">
        <f t="shared" si="61"/>
        <v>8912.57</v>
      </c>
      <c r="L211" s="69">
        <f t="shared" si="61"/>
        <v>6698.49</v>
      </c>
      <c r="M211" s="69">
        <f t="shared" si="61"/>
        <v>21786</v>
      </c>
      <c r="N211" s="69">
        <f t="shared" si="61"/>
        <v>12911.1</v>
      </c>
      <c r="O211" s="69">
        <f t="shared" si="61"/>
        <v>4200.5</v>
      </c>
    </row>
    <row r="212" spans="1:17" ht="12.75">
      <c r="A212" s="67"/>
      <c r="B212" s="90" t="s">
        <v>276</v>
      </c>
      <c r="C212" s="11">
        <f t="shared" si="57"/>
        <v>2494.7699999999995</v>
      </c>
      <c r="D212" s="11"/>
      <c r="E212" s="11"/>
      <c r="F212" s="11">
        <v>1320</v>
      </c>
      <c r="G212" s="11"/>
      <c r="H212" s="11"/>
      <c r="I212" s="11"/>
      <c r="J212" s="11">
        <v>77.6</v>
      </c>
      <c r="K212" s="11">
        <v>1087.97</v>
      </c>
      <c r="L212" s="11">
        <v>9.2</v>
      </c>
      <c r="M212" s="11"/>
      <c r="N212" s="11"/>
      <c r="O212" s="11"/>
      <c r="Q212" s="10"/>
    </row>
    <row r="213" spans="1:17" ht="51">
      <c r="A213" s="67"/>
      <c r="B213" s="90" t="s">
        <v>275</v>
      </c>
      <c r="C213" s="11">
        <f t="shared" si="57"/>
        <v>692.1</v>
      </c>
      <c r="D213" s="11"/>
      <c r="E213" s="11"/>
      <c r="F213" s="11">
        <v>10</v>
      </c>
      <c r="G213" s="11"/>
      <c r="H213" s="11"/>
      <c r="I213" s="11"/>
      <c r="J213" s="11">
        <f>60+60</f>
        <v>120</v>
      </c>
      <c r="K213" s="11">
        <v>368</v>
      </c>
      <c r="L213" s="11"/>
      <c r="M213" s="11">
        <v>94</v>
      </c>
      <c r="N213" s="11">
        <f>30.1+70</f>
        <v>100.1</v>
      </c>
      <c r="O213" s="11"/>
      <c r="Q213" s="10"/>
    </row>
    <row r="214" spans="1:17" ht="25.5">
      <c r="A214" s="67"/>
      <c r="B214" s="90" t="s">
        <v>274</v>
      </c>
      <c r="C214" s="11">
        <f t="shared" si="57"/>
        <v>6542.58</v>
      </c>
      <c r="D214" s="11"/>
      <c r="E214" s="11"/>
      <c r="F214" s="11">
        <f>200+3960</f>
        <v>4160</v>
      </c>
      <c r="G214" s="11"/>
      <c r="H214" s="11">
        <v>220</v>
      </c>
      <c r="I214" s="11"/>
      <c r="J214" s="11">
        <v>75</v>
      </c>
      <c r="K214" s="11">
        <f>94.2+628</f>
        <v>722.2</v>
      </c>
      <c r="L214" s="11">
        <f>1.8+10.5+73.08+280</f>
        <v>365.38</v>
      </c>
      <c r="M214" s="11"/>
      <c r="N214" s="11">
        <v>450</v>
      </c>
      <c r="O214" s="11">
        <v>550</v>
      </c>
      <c r="Q214" s="10"/>
    </row>
    <row r="215" spans="1:17" ht="30">
      <c r="A215" s="67"/>
      <c r="B215" s="110" t="s">
        <v>278</v>
      </c>
      <c r="C215" s="11">
        <f t="shared" si="57"/>
        <v>545</v>
      </c>
      <c r="D215" s="11"/>
      <c r="E215" s="11"/>
      <c r="F215" s="11"/>
      <c r="G215" s="11">
        <v>545</v>
      </c>
      <c r="H215" s="11"/>
      <c r="I215" s="11"/>
      <c r="J215" s="11"/>
      <c r="K215" s="11"/>
      <c r="L215" s="11"/>
      <c r="M215" s="11"/>
      <c r="N215" s="11"/>
      <c r="O215" s="11"/>
      <c r="Q215" s="10"/>
    </row>
    <row r="216" spans="1:17" ht="38.25">
      <c r="A216" s="67"/>
      <c r="B216" s="90" t="s">
        <v>272</v>
      </c>
      <c r="C216" s="11">
        <f t="shared" si="57"/>
        <v>3680</v>
      </c>
      <c r="D216" s="11">
        <v>700</v>
      </c>
      <c r="E216" s="11"/>
      <c r="F216" s="11">
        <f>90+40+64</f>
        <v>194</v>
      </c>
      <c r="G216" s="11">
        <f>112+44+3+56+60</f>
        <v>275</v>
      </c>
      <c r="H216" s="11"/>
      <c r="I216" s="11"/>
      <c r="J216" s="11">
        <f>55+360+2</f>
        <v>417</v>
      </c>
      <c r="K216" s="11"/>
      <c r="L216" s="11"/>
      <c r="M216" s="11"/>
      <c r="N216" s="11">
        <f>314+1540+240</f>
        <v>2094</v>
      </c>
      <c r="O216" s="11"/>
      <c r="Q216" s="10"/>
    </row>
    <row r="217" spans="1:17" ht="38.25">
      <c r="A217" s="67"/>
      <c r="B217" s="90" t="s">
        <v>269</v>
      </c>
      <c r="C217" s="11">
        <f t="shared" si="57"/>
        <v>38710.99</v>
      </c>
      <c r="D217" s="11">
        <f>150+150+2850+1040</f>
        <v>4190</v>
      </c>
      <c r="E217" s="11">
        <f>520+2046+650</f>
        <v>3216</v>
      </c>
      <c r="F217" s="11">
        <f>308.19+267.6+595.88+50+1440+15.52+2.2+1150+9.7</f>
        <v>3839.0899999999997</v>
      </c>
      <c r="G217" s="11">
        <f>2800+294+130+45+1350+1500+295+41+11992+180</f>
        <v>18627</v>
      </c>
      <c r="H217" s="11">
        <f>160+50+60+220+64+20+100</f>
        <v>674</v>
      </c>
      <c r="I217" s="11">
        <f>240+84+133+1080+130+451.7+133.2+160+2</f>
        <v>2413.8999999999996</v>
      </c>
      <c r="J217" s="11">
        <f>90+480+1830</f>
        <v>2400</v>
      </c>
      <c r="K217" s="11"/>
      <c r="L217" s="11">
        <v>290</v>
      </c>
      <c r="M217" s="11">
        <f>340</f>
        <v>340</v>
      </c>
      <c r="N217" s="11">
        <f>660+499+180+896</f>
        <v>2235</v>
      </c>
      <c r="O217" s="11">
        <f>276+210</f>
        <v>486</v>
      </c>
      <c r="Q217" s="10"/>
    </row>
    <row r="218" spans="1:17" ht="38.25">
      <c r="A218" s="67"/>
      <c r="B218" s="90" t="s">
        <v>277</v>
      </c>
      <c r="C218" s="11">
        <f t="shared" si="57"/>
        <v>1080</v>
      </c>
      <c r="D218" s="11"/>
      <c r="E218" s="11"/>
      <c r="F218" s="11">
        <f>300+300+480</f>
        <v>1080</v>
      </c>
      <c r="G218" s="11"/>
      <c r="H218" s="11"/>
      <c r="I218" s="11"/>
      <c r="J218" s="11"/>
      <c r="K218" s="11"/>
      <c r="L218" s="11"/>
      <c r="M218" s="11"/>
      <c r="N218" s="11"/>
      <c r="O218" s="11"/>
      <c r="Q218" s="10"/>
    </row>
    <row r="219" spans="1:17" ht="51">
      <c r="A219" s="67"/>
      <c r="B219" s="90" t="s">
        <v>273</v>
      </c>
      <c r="C219" s="11">
        <f t="shared" si="57"/>
        <v>9768.11</v>
      </c>
      <c r="D219" s="11"/>
      <c r="E219" s="11">
        <v>580</v>
      </c>
      <c r="F219" s="11"/>
      <c r="G219" s="11"/>
      <c r="H219" s="11"/>
      <c r="I219" s="11">
        <v>5673.5</v>
      </c>
      <c r="J219" s="11"/>
      <c r="K219" s="11"/>
      <c r="L219" s="11">
        <f>149+180+75+135+20+88+225.61+183+310+303+58+130+95+180+20+150+255</f>
        <v>2556.61</v>
      </c>
      <c r="M219" s="11">
        <f>250+3+600+15+15+50+25</f>
        <v>958</v>
      </c>
      <c r="N219" s="11"/>
      <c r="O219" s="11"/>
      <c r="Q219" s="10"/>
    </row>
    <row r="220" spans="1:17" ht="51">
      <c r="A220" s="67"/>
      <c r="B220" s="90" t="s">
        <v>270</v>
      </c>
      <c r="C220" s="11">
        <f t="shared" si="57"/>
        <v>10571</v>
      </c>
      <c r="D220" s="11">
        <v>690</v>
      </c>
      <c r="E220" s="11">
        <v>2708</v>
      </c>
      <c r="F220" s="11"/>
      <c r="G220" s="11">
        <f>2998+975</f>
        <v>3973</v>
      </c>
      <c r="H220" s="11"/>
      <c r="I220" s="11">
        <f>800+800</f>
        <v>1600</v>
      </c>
      <c r="J220" s="11"/>
      <c r="K220" s="11"/>
      <c r="L220" s="11"/>
      <c r="M220" s="11">
        <v>800</v>
      </c>
      <c r="N220" s="11">
        <v>800</v>
      </c>
      <c r="O220" s="11"/>
      <c r="Q220" s="10"/>
    </row>
    <row r="221" spans="1:17" ht="38.25">
      <c r="A221" s="67"/>
      <c r="B221" s="90" t="s">
        <v>340</v>
      </c>
      <c r="C221" s="11">
        <f t="shared" si="57"/>
        <v>19046.82</v>
      </c>
      <c r="D221" s="11">
        <f>218.4+134+118.4+4.3+15.5+11.9+76.8+203.3+3.9</f>
        <v>786.4999999999999</v>
      </c>
      <c r="E221" s="11"/>
      <c r="F221" s="11">
        <f>25.96+465.6+2042.8+400+113.5+50.4+285.2+1320+25.2+137.16</f>
        <v>4865.82</v>
      </c>
      <c r="G221" s="11"/>
      <c r="H221" s="11"/>
      <c r="I221" s="11">
        <f>143+159+406.8+3547+459+516+519+106+85+32.6</f>
        <v>5973.400000000001</v>
      </c>
      <c r="J221" s="11"/>
      <c r="K221" s="11">
        <f>132.5+533.5+1100+667.4+40+682.9+504.3+120</f>
        <v>3780.6000000000004</v>
      </c>
      <c r="L221" s="11"/>
      <c r="M221" s="11">
        <f>36+336+72</f>
        <v>444</v>
      </c>
      <c r="N221" s="11">
        <v>32</v>
      </c>
      <c r="O221" s="11">
        <f>2914+250.5</f>
        <v>3164.5</v>
      </c>
      <c r="Q221" s="10"/>
    </row>
    <row r="222" spans="1:17" ht="12.75">
      <c r="A222" s="67"/>
      <c r="B222" s="90" t="s">
        <v>271</v>
      </c>
      <c r="C222" s="11">
        <f t="shared" si="57"/>
        <v>7557.450000000001</v>
      </c>
      <c r="D222" s="11"/>
      <c r="E222" s="11">
        <f>562.6+853.7+104.2+613+652+251+48.5+36.7+210+30.3+46.6+1018.9+71.8+47.5</f>
        <v>4546.8</v>
      </c>
      <c r="F222" s="11">
        <f>1650.35+198.56+438.96+172.28</f>
        <v>2460.15</v>
      </c>
      <c r="G222" s="11"/>
      <c r="H222" s="11">
        <f>316.6+33.1+74.2+49+38.8+38.8</f>
        <v>550.5</v>
      </c>
      <c r="I222" s="11"/>
      <c r="J222" s="11"/>
      <c r="K222" s="11"/>
      <c r="L222" s="11"/>
      <c r="M222" s="11"/>
      <c r="N222" s="11"/>
      <c r="O222" s="11"/>
      <c r="Q222" s="10"/>
    </row>
    <row r="223" spans="1:17" ht="25.5">
      <c r="A223" s="67"/>
      <c r="B223" s="90" t="s">
        <v>281</v>
      </c>
      <c r="C223" s="11">
        <f t="shared" si="57"/>
        <v>8079.8</v>
      </c>
      <c r="D223" s="11"/>
      <c r="E223" s="11"/>
      <c r="F223" s="11"/>
      <c r="G223" s="11"/>
      <c r="H223" s="11">
        <f>150+792+88</f>
        <v>1030</v>
      </c>
      <c r="I223" s="11">
        <f>335+52</f>
        <v>387</v>
      </c>
      <c r="J223" s="11">
        <f>96+210+29+90+1295+1790+178+21</f>
        <v>3709</v>
      </c>
      <c r="K223" s="11">
        <f>190+129.9+271.6+9.2+103.1+178+80+220+260+131+30+35+288+39.97+23.19+130+40+794.84</f>
        <v>2953.8</v>
      </c>
      <c r="L223" s="11"/>
      <c r="M223" s="11"/>
      <c r="N223" s="11"/>
      <c r="O223" s="11"/>
      <c r="Q223" s="10"/>
    </row>
    <row r="224" spans="1:17" ht="25.5">
      <c r="A224" s="67"/>
      <c r="B224" s="90" t="s">
        <v>410</v>
      </c>
      <c r="C224" s="11">
        <f t="shared" si="57"/>
        <v>1950</v>
      </c>
      <c r="D224" s="11"/>
      <c r="E224" s="11"/>
      <c r="F224" s="11"/>
      <c r="G224" s="11"/>
      <c r="H224" s="11">
        <v>1650</v>
      </c>
      <c r="I224" s="11"/>
      <c r="J224" s="11">
        <v>300</v>
      </c>
      <c r="K224" s="11"/>
      <c r="L224" s="11"/>
      <c r="M224" s="11"/>
      <c r="N224" s="11"/>
      <c r="O224" s="11"/>
      <c r="Q224" s="10"/>
    </row>
    <row r="225" spans="1:17" ht="38.25">
      <c r="A225" s="67"/>
      <c r="B225" s="90" t="s">
        <v>367</v>
      </c>
      <c r="C225" s="11">
        <f t="shared" si="57"/>
        <v>677.3</v>
      </c>
      <c r="D225" s="11"/>
      <c r="E225" s="11"/>
      <c r="F225" s="11"/>
      <c r="G225" s="11"/>
      <c r="H225" s="11"/>
      <c r="I225" s="11"/>
      <c r="J225" s="11"/>
      <c r="K225" s="11"/>
      <c r="L225" s="11">
        <v>677.3</v>
      </c>
      <c r="M225" s="11"/>
      <c r="N225" s="11"/>
      <c r="O225" s="11"/>
      <c r="Q225" s="10"/>
    </row>
    <row r="226" spans="1:17" ht="12.75">
      <c r="A226" s="67"/>
      <c r="B226" s="90" t="s">
        <v>283</v>
      </c>
      <c r="C226" s="11">
        <f t="shared" si="57"/>
        <v>191</v>
      </c>
      <c r="D226" s="11"/>
      <c r="E226" s="11"/>
      <c r="F226" s="11"/>
      <c r="G226" s="11"/>
      <c r="H226" s="11"/>
      <c r="I226" s="11">
        <v>103</v>
      </c>
      <c r="J226" s="11">
        <v>88</v>
      </c>
      <c r="K226" s="11"/>
      <c r="L226" s="11"/>
      <c r="M226" s="11"/>
      <c r="N226" s="11"/>
      <c r="O226" s="11"/>
      <c r="Q226" s="10"/>
    </row>
    <row r="227" spans="1:17" ht="25.5">
      <c r="A227" s="67"/>
      <c r="B227" s="90" t="s">
        <v>282</v>
      </c>
      <c r="C227" s="11">
        <f t="shared" si="57"/>
        <v>449</v>
      </c>
      <c r="D227" s="11"/>
      <c r="E227" s="11"/>
      <c r="F227" s="11"/>
      <c r="G227" s="11"/>
      <c r="H227" s="11">
        <f>229+110+110</f>
        <v>449</v>
      </c>
      <c r="I227" s="11"/>
      <c r="J227" s="11"/>
      <c r="K227" s="11"/>
      <c r="L227" s="11"/>
      <c r="M227" s="11"/>
      <c r="N227" s="11"/>
      <c r="O227" s="11"/>
      <c r="Q227" s="10"/>
    </row>
    <row r="228" spans="1:17" ht="25.5">
      <c r="A228" s="67"/>
      <c r="B228" s="90" t="s">
        <v>279</v>
      </c>
      <c r="C228" s="11">
        <f t="shared" si="57"/>
        <v>22113.2</v>
      </c>
      <c r="D228" s="11"/>
      <c r="E228" s="11"/>
      <c r="F228" s="11"/>
      <c r="G228" s="11"/>
      <c r="H228" s="11">
        <f>228+257.2</f>
        <v>485.2</v>
      </c>
      <c r="I228" s="11">
        <v>228</v>
      </c>
      <c r="J228" s="11"/>
      <c r="K228" s="11"/>
      <c r="L228" s="11"/>
      <c r="M228" s="11">
        <f>1500+12000+100+250+350</f>
        <v>14200</v>
      </c>
      <c r="N228" s="11">
        <f>7200</f>
        <v>7200</v>
      </c>
      <c r="O228" s="11"/>
      <c r="Q228" s="10"/>
    </row>
    <row r="229" spans="1:17" ht="12.75">
      <c r="A229" s="67"/>
      <c r="B229" s="90" t="s">
        <v>280</v>
      </c>
      <c r="C229" s="11">
        <f t="shared" si="57"/>
        <v>9450</v>
      </c>
      <c r="D229" s="11"/>
      <c r="E229" s="11"/>
      <c r="F229" s="11"/>
      <c r="G229" s="11"/>
      <c r="H229" s="11">
        <f>4500</f>
        <v>4500</v>
      </c>
      <c r="I229" s="11"/>
      <c r="J229" s="11"/>
      <c r="K229" s="11"/>
      <c r="L229" s="11"/>
      <c r="M229" s="11">
        <v>4950</v>
      </c>
      <c r="N229" s="11"/>
      <c r="O229" s="11"/>
      <c r="Q229" s="10"/>
    </row>
    <row r="230" spans="1:17" ht="38.25">
      <c r="A230" s="67"/>
      <c r="B230" s="112" t="s">
        <v>284</v>
      </c>
      <c r="C230" s="11">
        <f t="shared" si="57"/>
        <v>90</v>
      </c>
      <c r="D230" s="11"/>
      <c r="E230" s="11"/>
      <c r="F230" s="11"/>
      <c r="G230" s="11"/>
      <c r="H230" s="11"/>
      <c r="I230" s="11"/>
      <c r="J230" s="11">
        <v>90</v>
      </c>
      <c r="K230" s="11"/>
      <c r="L230" s="11"/>
      <c r="M230" s="11"/>
      <c r="N230" s="11"/>
      <c r="O230" s="11"/>
      <c r="Q230" s="10"/>
    </row>
    <row r="231" spans="1:17" ht="38.25">
      <c r="A231" s="67"/>
      <c r="B231" s="112" t="s">
        <v>285</v>
      </c>
      <c r="C231" s="11">
        <f t="shared" si="57"/>
        <v>2800</v>
      </c>
      <c r="D231" s="11"/>
      <c r="E231" s="11"/>
      <c r="F231" s="11"/>
      <c r="G231" s="11"/>
      <c r="H231" s="11"/>
      <c r="I231" s="11"/>
      <c r="J231" s="11"/>
      <c r="K231" s="11"/>
      <c r="L231" s="11">
        <v>2800</v>
      </c>
      <c r="M231" s="11"/>
      <c r="N231" s="11"/>
      <c r="O231" s="11"/>
      <c r="Q231" s="10"/>
    </row>
    <row r="232" spans="1:17" ht="12" customHeight="1">
      <c r="A232" s="67"/>
      <c r="B232" s="90" t="s">
        <v>371</v>
      </c>
      <c r="C232" s="11">
        <f t="shared" si="57"/>
        <v>0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Q232" s="10"/>
    </row>
    <row r="233" spans="1:15" ht="12.75">
      <c r="A233" s="67">
        <v>59</v>
      </c>
      <c r="B233" s="68" t="s">
        <v>253</v>
      </c>
      <c r="C233" s="69">
        <f t="shared" si="57"/>
        <v>5169.99</v>
      </c>
      <c r="D233" s="69"/>
      <c r="E233" s="69"/>
      <c r="F233" s="69"/>
      <c r="G233" s="69">
        <v>3061.5</v>
      </c>
      <c r="H233" s="69"/>
      <c r="I233" s="69">
        <v>108.49</v>
      </c>
      <c r="J233" s="69">
        <v>2000</v>
      </c>
      <c r="K233" s="69"/>
      <c r="L233" s="69"/>
      <c r="M233" s="69"/>
      <c r="N233" s="69"/>
      <c r="O233" s="69"/>
    </row>
    <row r="234" spans="1:15" ht="12.75">
      <c r="A234" s="67">
        <v>60</v>
      </c>
      <c r="B234" s="68" t="s">
        <v>67</v>
      </c>
      <c r="C234" s="69">
        <f>SUM(D234:O234)</f>
        <v>0</v>
      </c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</row>
    <row r="235" spans="1:15" ht="12.75">
      <c r="A235" s="67">
        <v>61</v>
      </c>
      <c r="B235" s="68" t="s">
        <v>55</v>
      </c>
      <c r="C235" s="69">
        <f t="shared" si="57"/>
        <v>63424.53</v>
      </c>
      <c r="D235" s="69">
        <v>7111.14</v>
      </c>
      <c r="E235" s="69">
        <v>7111.14</v>
      </c>
      <c r="F235" s="69">
        <v>7111.14</v>
      </c>
      <c r="G235" s="69">
        <v>7111.14</v>
      </c>
      <c r="H235" s="69">
        <v>7111.14</v>
      </c>
      <c r="I235" s="69">
        <v>6912.38</v>
      </c>
      <c r="J235" s="69">
        <v>6779.47</v>
      </c>
      <c r="K235" s="69">
        <v>7136.38</v>
      </c>
      <c r="L235" s="69">
        <v>7040.6</v>
      </c>
      <c r="M235" s="69"/>
      <c r="N235" s="69"/>
      <c r="O235" s="69"/>
    </row>
    <row r="236" spans="1:16" ht="12.75">
      <c r="A236" s="67">
        <v>62</v>
      </c>
      <c r="B236" s="68" t="s">
        <v>56</v>
      </c>
      <c r="C236" s="69">
        <f t="shared" si="57"/>
        <v>908851.1100000001</v>
      </c>
      <c r="D236" s="69">
        <v>94522.96</v>
      </c>
      <c r="E236" s="69">
        <v>85166.98</v>
      </c>
      <c r="F236" s="69">
        <v>71573.28</v>
      </c>
      <c r="G236" s="69">
        <v>83570.95</v>
      </c>
      <c r="H236" s="69">
        <v>72123.63</v>
      </c>
      <c r="I236" s="69">
        <v>72894.11</v>
      </c>
      <c r="J236" s="69">
        <v>62657.58</v>
      </c>
      <c r="K236" s="69">
        <v>66262.39</v>
      </c>
      <c r="L236" s="69">
        <v>81754.79</v>
      </c>
      <c r="M236" s="69">
        <v>71188.03</v>
      </c>
      <c r="N236" s="69">
        <v>82029.97</v>
      </c>
      <c r="O236" s="69">
        <v>65106.44</v>
      </c>
      <c r="P236" s="93">
        <f>C236/SUM($C$236:$C$238)</f>
        <v>0.2048383057499928</v>
      </c>
    </row>
    <row r="237" spans="1:16" ht="12.75">
      <c r="A237" s="67">
        <v>63</v>
      </c>
      <c r="B237" s="68" t="s">
        <v>57</v>
      </c>
      <c r="C237" s="69">
        <f t="shared" si="57"/>
        <v>1563458.4000000001</v>
      </c>
      <c r="D237" s="69">
        <v>314841.16</v>
      </c>
      <c r="E237" s="69">
        <v>282762.81</v>
      </c>
      <c r="F237" s="69">
        <v>174296.34</v>
      </c>
      <c r="G237" s="69">
        <v>102927</v>
      </c>
      <c r="H237" s="69">
        <v>32193.77</v>
      </c>
      <c r="I237" s="69">
        <v>62483.58</v>
      </c>
      <c r="J237" s="69">
        <v>8711.93</v>
      </c>
      <c r="K237" s="69">
        <v>20712.47</v>
      </c>
      <c r="L237" s="69">
        <v>30578.3</v>
      </c>
      <c r="M237" s="69">
        <v>103562.39</v>
      </c>
      <c r="N237" s="69">
        <v>175392.55</v>
      </c>
      <c r="O237" s="69">
        <v>254996.1</v>
      </c>
      <c r="P237" s="93">
        <f>C237/SUM($C$236:$C$238)</f>
        <v>0.3523747357986882</v>
      </c>
    </row>
    <row r="238" spans="1:16" ht="12.75">
      <c r="A238" s="67">
        <v>64</v>
      </c>
      <c r="B238" s="68" t="s">
        <v>58</v>
      </c>
      <c r="C238" s="69">
        <f t="shared" si="57"/>
        <v>1964610.17</v>
      </c>
      <c r="D238" s="69">
        <v>181199.89</v>
      </c>
      <c r="E238" s="69">
        <v>187849.99</v>
      </c>
      <c r="F238" s="69">
        <v>162874.12</v>
      </c>
      <c r="G238" s="69">
        <v>157973.58</v>
      </c>
      <c r="H238" s="69">
        <v>138259.23</v>
      </c>
      <c r="I238" s="69">
        <v>147825.36</v>
      </c>
      <c r="J238" s="69">
        <v>136751.23</v>
      </c>
      <c r="K238" s="69">
        <v>136257.1</v>
      </c>
      <c r="L238" s="69">
        <v>180634.78</v>
      </c>
      <c r="M238" s="69">
        <v>164832.3</v>
      </c>
      <c r="N238" s="69">
        <v>198756.93</v>
      </c>
      <c r="O238" s="69">
        <v>171395.66</v>
      </c>
      <c r="P238" s="93">
        <f>C238/SUM($C$236:$C$238)</f>
        <v>0.4427869584513191</v>
      </c>
    </row>
    <row r="239" spans="2:17" ht="12.75">
      <c r="B239" s="94"/>
      <c r="C239" s="113">
        <f aca="true" t="shared" si="62" ref="C239:O239">SUMIF($A$88:$A$238,"&lt;&gt;",C88:C238)</f>
        <v>7943298.19</v>
      </c>
      <c r="D239" s="113">
        <f t="shared" si="62"/>
        <v>830903.37</v>
      </c>
      <c r="E239" s="113">
        <f t="shared" si="62"/>
        <v>770088.24</v>
      </c>
      <c r="F239" s="113">
        <f t="shared" si="62"/>
        <v>760373.2799999999</v>
      </c>
      <c r="G239" s="113">
        <f t="shared" si="62"/>
        <v>619165.03</v>
      </c>
      <c r="H239" s="113">
        <f t="shared" si="62"/>
        <v>526045.39</v>
      </c>
      <c r="I239" s="113">
        <f t="shared" si="62"/>
        <v>664221.79</v>
      </c>
      <c r="J239" s="113">
        <f t="shared" si="62"/>
        <v>494886.97</v>
      </c>
      <c r="K239" s="113">
        <f t="shared" si="62"/>
        <v>451509.54999999993</v>
      </c>
      <c r="L239" s="113">
        <f t="shared" si="62"/>
        <v>625388.6799999999</v>
      </c>
      <c r="M239" s="113">
        <f t="shared" si="62"/>
        <v>626100.9000000001</v>
      </c>
      <c r="N239" s="113">
        <f t="shared" si="62"/>
        <v>758096.01</v>
      </c>
      <c r="O239" s="113">
        <f t="shared" si="62"/>
        <v>816518.9800000001</v>
      </c>
      <c r="P239" s="114">
        <f>SUM(P236:P238)</f>
        <v>1</v>
      </c>
      <c r="Q239" s="115"/>
    </row>
    <row r="240" spans="2:15" ht="12.75">
      <c r="B240" s="94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</row>
    <row r="241" spans="2:15" ht="12.75">
      <c r="B241" s="94"/>
      <c r="C241" s="1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</row>
    <row r="242" spans="8:13" ht="12.75">
      <c r="H242" s="10"/>
      <c r="I242" s="10"/>
      <c r="J242" s="10"/>
      <c r="K242" s="10"/>
      <c r="L242" s="10"/>
      <c r="M242" s="10"/>
    </row>
    <row r="243" spans="1:15" ht="25.5">
      <c r="A243" s="71" t="s">
        <v>0</v>
      </c>
      <c r="B243" s="89" t="s">
        <v>73</v>
      </c>
      <c r="C243" s="67" t="s">
        <v>1</v>
      </c>
      <c r="D243" s="67" t="s">
        <v>2</v>
      </c>
      <c r="E243" s="67" t="s">
        <v>3</v>
      </c>
      <c r="F243" s="67" t="s">
        <v>4</v>
      </c>
      <c r="G243" s="67" t="s">
        <v>5</v>
      </c>
      <c r="H243" s="67" t="s">
        <v>6</v>
      </c>
      <c r="I243" s="67" t="s">
        <v>7</v>
      </c>
      <c r="J243" s="67" t="s">
        <v>8</v>
      </c>
      <c r="K243" s="67" t="s">
        <v>9</v>
      </c>
      <c r="L243" s="67" t="s">
        <v>10</v>
      </c>
      <c r="M243" s="67" t="s">
        <v>11</v>
      </c>
      <c r="N243" s="67" t="s">
        <v>12</v>
      </c>
      <c r="O243" s="67" t="s">
        <v>13</v>
      </c>
    </row>
    <row r="244" spans="1:15" s="64" customFormat="1" ht="25.5">
      <c r="A244" s="67">
        <v>1</v>
      </c>
      <c r="B244" s="68" t="s">
        <v>71</v>
      </c>
      <c r="C244" s="69">
        <f aca="true" t="shared" si="63" ref="C244:C260">SUM(D244:O244)</f>
        <v>942701.82</v>
      </c>
      <c r="D244" s="69">
        <f>SUM(D245:D250)</f>
        <v>63864.86</v>
      </c>
      <c r="E244" s="69">
        <f>SUM(E245:E250)</f>
        <v>63476.46000000001</v>
      </c>
      <c r="F244" s="69">
        <f aca="true" t="shared" si="64" ref="F244:O244">SUM(F245:F250)</f>
        <v>58847.13</v>
      </c>
      <c r="G244" s="69">
        <f t="shared" si="64"/>
        <v>43506.259999999995</v>
      </c>
      <c r="H244" s="69">
        <f t="shared" si="64"/>
        <v>110682.01</v>
      </c>
      <c r="I244" s="69">
        <f t="shared" si="64"/>
        <v>91446.56</v>
      </c>
      <c r="J244" s="69">
        <f t="shared" si="64"/>
        <v>90853.9</v>
      </c>
      <c r="K244" s="69">
        <f t="shared" si="64"/>
        <v>85173.81</v>
      </c>
      <c r="L244" s="69">
        <f t="shared" si="64"/>
        <v>101105.16</v>
      </c>
      <c r="M244" s="69">
        <f t="shared" si="64"/>
        <v>51223.13</v>
      </c>
      <c r="N244" s="69">
        <f t="shared" si="64"/>
        <v>100286.21</v>
      </c>
      <c r="O244" s="69">
        <f t="shared" si="64"/>
        <v>82236.33</v>
      </c>
    </row>
    <row r="245" spans="1:15" ht="12.75">
      <c r="A245" s="74"/>
      <c r="B245" s="90" t="s">
        <v>26</v>
      </c>
      <c r="C245" s="11">
        <f t="shared" si="63"/>
        <v>144988.32</v>
      </c>
      <c r="D245" s="11">
        <v>12082.36</v>
      </c>
      <c r="E245" s="11">
        <v>12082.36</v>
      </c>
      <c r="F245" s="11">
        <v>12082.36</v>
      </c>
      <c r="G245" s="11">
        <v>12082.36</v>
      </c>
      <c r="H245" s="11">
        <v>12082.36</v>
      </c>
      <c r="I245" s="11">
        <v>12082.36</v>
      </c>
      <c r="J245" s="11">
        <v>12082.36</v>
      </c>
      <c r="K245" s="11">
        <v>12082.36</v>
      </c>
      <c r="L245" s="11">
        <v>12082.36</v>
      </c>
      <c r="M245" s="11">
        <v>12082.36</v>
      </c>
      <c r="N245" s="11">
        <v>12082.36</v>
      </c>
      <c r="O245" s="11">
        <v>12082.36</v>
      </c>
    </row>
    <row r="246" spans="1:15" ht="12.75">
      <c r="A246" s="74"/>
      <c r="B246" s="90" t="s">
        <v>295</v>
      </c>
      <c r="C246" s="11">
        <f t="shared" si="63"/>
        <v>227499.37000000002</v>
      </c>
      <c r="D246" s="11"/>
      <c r="E246" s="11"/>
      <c r="F246" s="11"/>
      <c r="G246" s="11">
        <f>9691.36+302.01+19.38</f>
        <v>10012.75</v>
      </c>
      <c r="H246" s="11">
        <f>23690+3316.6+47.38</f>
        <v>27053.98</v>
      </c>
      <c r="I246" s="11">
        <f>23690+3316.6+47.38</f>
        <v>27053.98</v>
      </c>
      <c r="J246" s="11">
        <f>23690+3316.6+47.38</f>
        <v>27053.98</v>
      </c>
      <c r="K246" s="11">
        <f>23690+3316.6+47.38</f>
        <v>27053.98</v>
      </c>
      <c r="L246" s="11">
        <f>23690+3316.6+47.38</f>
        <v>27053.98</v>
      </c>
      <c r="M246" s="11">
        <v>23065.7</v>
      </c>
      <c r="N246" s="11">
        <v>23065.7</v>
      </c>
      <c r="O246" s="11">
        <v>36085.32</v>
      </c>
    </row>
    <row r="247" spans="1:15" ht="12.75">
      <c r="A247" s="74"/>
      <c r="B247" s="90" t="s">
        <v>27</v>
      </c>
      <c r="C247" s="11">
        <f t="shared" si="63"/>
        <v>71053.51</v>
      </c>
      <c r="D247" s="11">
        <v>5712.86</v>
      </c>
      <c r="E247" s="11">
        <f>5464.6+765.04+10.93</f>
        <v>6240.570000000001</v>
      </c>
      <c r="F247" s="11">
        <f>4547.79+636.69+9.09</f>
        <v>5193.57</v>
      </c>
      <c r="G247" s="11">
        <v>5712.86</v>
      </c>
      <c r="H247" s="11">
        <f>4832.24+676.52+9.66</f>
        <v>5518.42</v>
      </c>
      <c r="I247" s="11">
        <f>5432+760.48+10.86-13.81</f>
        <v>6189.529999999999</v>
      </c>
      <c r="J247" s="11">
        <f>7000+560+420</f>
        <v>7980</v>
      </c>
      <c r="K247" s="11">
        <f>5002.5+400.2+300.15</f>
        <v>5702.849999999999</v>
      </c>
      <c r="L247" s="11">
        <f>5002.5+400.2+300.15</f>
        <v>5702.849999999999</v>
      </c>
      <c r="M247" s="11">
        <f>5000+400+300</f>
        <v>5700</v>
      </c>
      <c r="N247" s="11">
        <v>5700</v>
      </c>
      <c r="O247" s="11">
        <v>5700</v>
      </c>
    </row>
    <row r="248" spans="1:15" ht="12.75">
      <c r="A248" s="74"/>
      <c r="B248" s="90" t="s">
        <v>28</v>
      </c>
      <c r="C248" s="11">
        <f t="shared" si="63"/>
        <v>372184.27</v>
      </c>
      <c r="D248" s="11">
        <f>37402.66+199.64</f>
        <v>37602.3</v>
      </c>
      <c r="E248" s="11">
        <f>25324+2025.92+1519.44+3588+502.32+52.62+897</f>
        <v>33909.3</v>
      </c>
      <c r="F248" s="11">
        <f>23825.18+1906.02+1429.51+3588+464.64</f>
        <v>31213.35</v>
      </c>
      <c r="G248" s="11">
        <f>22724+1817.92+1363.44+3588+502.32+52.62+14.94-14379.08-10346</f>
        <v>5338.159999999994</v>
      </c>
      <c r="H248" s="11">
        <f>22724+1817.92+1363.44+3588+502.32+52.62+14.94-1.13+25603.87</f>
        <v>55665.979999999996</v>
      </c>
      <c r="I248" s="11">
        <f>22724+3181.36+3588+502.32+52.62+5711.12</f>
        <v>35759.42</v>
      </c>
      <c r="J248" s="11">
        <f>22724+3181.36+3588+502.32+52.62+3314.19</f>
        <v>33362.49</v>
      </c>
      <c r="K248" s="11">
        <f>22724+3181.36+3588+466.19</f>
        <v>29959.55</v>
      </c>
      <c r="L248" s="11">
        <f>22724+3181.36+3588+502.32+52.62+15842.6</f>
        <v>45890.9</v>
      </c>
      <c r="M248" s="11"/>
      <c r="N248" s="11">
        <v>49063.08</v>
      </c>
      <c r="O248" s="11">
        <v>14419.74</v>
      </c>
    </row>
    <row r="249" spans="1:15" ht="12.75">
      <c r="A249" s="74"/>
      <c r="B249" s="90" t="s">
        <v>286</v>
      </c>
      <c r="C249" s="11">
        <f t="shared" si="63"/>
        <v>94463.40000000001</v>
      </c>
      <c r="D249" s="11">
        <v>6873.07</v>
      </c>
      <c r="E249" s="11">
        <v>7862.58</v>
      </c>
      <c r="F249" s="11">
        <v>7862.58</v>
      </c>
      <c r="G249" s="11">
        <f>4600+644+2299+321.86</f>
        <v>7864.86</v>
      </c>
      <c r="H249" s="11">
        <f>4600+644+2300+184+138</f>
        <v>7866</v>
      </c>
      <c r="I249" s="11">
        <f>4600+644+2300+184+138</f>
        <v>7866</v>
      </c>
      <c r="J249" s="11">
        <f>4600+644+2300+184+138+13.8</f>
        <v>7879.8</v>
      </c>
      <c r="K249" s="11">
        <f>4600+644+2300+184+138+13.8</f>
        <v>7879.8</v>
      </c>
      <c r="L249" s="11">
        <f>4600+644+2300+184+138+13.8</f>
        <v>7879.8</v>
      </c>
      <c r="M249" s="11">
        <f>4600+644+2300+184+138+13.8</f>
        <v>7879.8</v>
      </c>
      <c r="N249" s="11">
        <v>7879.8</v>
      </c>
      <c r="O249" s="11">
        <v>8869.31</v>
      </c>
    </row>
    <row r="250" spans="1:15" ht="12.75">
      <c r="A250" s="74"/>
      <c r="B250" s="90" t="s">
        <v>29</v>
      </c>
      <c r="C250" s="11">
        <f t="shared" si="63"/>
        <v>32512.950000000004</v>
      </c>
      <c r="D250" s="11">
        <v>1594.27</v>
      </c>
      <c r="E250" s="11">
        <f>2495.27+886.38</f>
        <v>3381.65</v>
      </c>
      <c r="F250" s="11">
        <v>2495.27</v>
      </c>
      <c r="G250" s="11">
        <v>2495.27</v>
      </c>
      <c r="H250" s="11">
        <v>2495.27</v>
      </c>
      <c r="I250" s="11">
        <v>2495.27</v>
      </c>
      <c r="J250" s="11">
        <v>2495.27</v>
      </c>
      <c r="K250" s="11">
        <v>2495.27</v>
      </c>
      <c r="L250" s="11">
        <v>2495.27</v>
      </c>
      <c r="M250" s="11">
        <v>2495.27</v>
      </c>
      <c r="N250" s="11">
        <v>2495.27</v>
      </c>
      <c r="O250" s="11">
        <v>5079.6</v>
      </c>
    </row>
    <row r="251" spans="1:15" s="64" customFormat="1" ht="12.75">
      <c r="A251" s="67">
        <v>2</v>
      </c>
      <c r="B251" s="68" t="s">
        <v>287</v>
      </c>
      <c r="C251" s="69">
        <f>SUM(D251:O251)</f>
        <v>3276.36</v>
      </c>
      <c r="D251" s="69">
        <f>D253</f>
        <v>0</v>
      </c>
      <c r="E251" s="69">
        <f>E253</f>
        <v>2620.86</v>
      </c>
      <c r="F251" s="69">
        <f aca="true" t="shared" si="65" ref="F251:N251">F253</f>
        <v>0</v>
      </c>
      <c r="G251" s="69">
        <f t="shared" si="65"/>
        <v>0</v>
      </c>
      <c r="H251" s="69">
        <f t="shared" si="65"/>
        <v>0</v>
      </c>
      <c r="I251" s="69">
        <f t="shared" si="65"/>
        <v>0</v>
      </c>
      <c r="J251" s="69">
        <f t="shared" si="65"/>
        <v>0</v>
      </c>
      <c r="K251" s="69">
        <f t="shared" si="65"/>
        <v>0</v>
      </c>
      <c r="L251" s="69">
        <f t="shared" si="65"/>
        <v>0</v>
      </c>
      <c r="M251" s="69">
        <f t="shared" si="65"/>
        <v>0</v>
      </c>
      <c r="N251" s="69">
        <f t="shared" si="65"/>
        <v>0</v>
      </c>
      <c r="O251" s="69">
        <f>O252</f>
        <v>655.5</v>
      </c>
    </row>
    <row r="252" spans="1:15" s="64" customFormat="1" ht="25.5">
      <c r="A252" s="67"/>
      <c r="B252" s="90" t="s">
        <v>364</v>
      </c>
      <c r="C252" s="11">
        <f>SUM(D252:O252)</f>
        <v>655.5</v>
      </c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11">
        <v>655.5</v>
      </c>
    </row>
    <row r="253" spans="1:15" ht="38.25">
      <c r="A253" s="74"/>
      <c r="B253" s="90" t="s">
        <v>288</v>
      </c>
      <c r="C253" s="11">
        <f t="shared" si="63"/>
        <v>2620.86</v>
      </c>
      <c r="D253" s="11"/>
      <c r="E253" s="11">
        <f>2299+321.86</f>
        <v>2620.86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s="64" customFormat="1" ht="12.75">
      <c r="A254" s="67">
        <v>3</v>
      </c>
      <c r="B254" s="68" t="s">
        <v>289</v>
      </c>
      <c r="C254" s="69">
        <f t="shared" si="63"/>
        <v>47172.06</v>
      </c>
      <c r="D254" s="69">
        <f>D257+D255+D256</f>
        <v>0</v>
      </c>
      <c r="E254" s="69">
        <f aca="true" t="shared" si="66" ref="E254:O254">E257+E255+E256</f>
        <v>0</v>
      </c>
      <c r="F254" s="69">
        <f t="shared" si="66"/>
        <v>26206.32</v>
      </c>
      <c r="G254" s="69">
        <f t="shared" si="66"/>
        <v>0</v>
      </c>
      <c r="H254" s="69">
        <f t="shared" si="66"/>
        <v>0</v>
      </c>
      <c r="I254" s="69">
        <f t="shared" si="66"/>
        <v>0</v>
      </c>
      <c r="J254" s="69">
        <f t="shared" si="66"/>
        <v>2620.86</v>
      </c>
      <c r="K254" s="69">
        <f t="shared" si="66"/>
        <v>0</v>
      </c>
      <c r="L254" s="69">
        <f t="shared" si="66"/>
        <v>18344.88</v>
      </c>
      <c r="M254" s="69">
        <f t="shared" si="66"/>
        <v>0</v>
      </c>
      <c r="N254" s="69">
        <f t="shared" si="66"/>
        <v>0</v>
      </c>
      <c r="O254" s="69">
        <f t="shared" si="66"/>
        <v>0</v>
      </c>
    </row>
    <row r="255" spans="1:15" ht="38.25">
      <c r="A255" s="74"/>
      <c r="B255" s="90" t="s">
        <v>344</v>
      </c>
      <c r="C255" s="11">
        <f t="shared" si="63"/>
        <v>2620.86</v>
      </c>
      <c r="D255" s="11"/>
      <c r="E255" s="11"/>
      <c r="F255" s="11"/>
      <c r="G255" s="11"/>
      <c r="H255" s="11"/>
      <c r="I255" s="11"/>
      <c r="J255" s="11">
        <f>2299+321.86</f>
        <v>2620.86</v>
      </c>
      <c r="K255" s="11"/>
      <c r="L255" s="11"/>
      <c r="M255" s="11"/>
      <c r="N255" s="11"/>
      <c r="O255" s="11"/>
    </row>
    <row r="256" spans="1:15" ht="51">
      <c r="A256" s="74"/>
      <c r="B256" s="90" t="s">
        <v>308</v>
      </c>
      <c r="C256" s="11">
        <f t="shared" si="63"/>
        <v>18344.88</v>
      </c>
      <c r="D256" s="11"/>
      <c r="E256" s="11"/>
      <c r="F256" s="11"/>
      <c r="G256" s="11"/>
      <c r="H256" s="11"/>
      <c r="I256" s="11"/>
      <c r="J256" s="11"/>
      <c r="K256" s="11"/>
      <c r="L256" s="11">
        <f>16092+2252.88</f>
        <v>18344.88</v>
      </c>
      <c r="M256" s="11"/>
      <c r="N256" s="11"/>
      <c r="O256" s="11"/>
    </row>
    <row r="257" spans="1:15" ht="63.75">
      <c r="A257" s="74"/>
      <c r="B257" s="90" t="s">
        <v>290</v>
      </c>
      <c r="C257" s="11">
        <f t="shared" si="63"/>
        <v>26206.32</v>
      </c>
      <c r="D257" s="11"/>
      <c r="E257" s="11"/>
      <c r="F257" s="11">
        <f>22988+3218.32</f>
        <v>26206.32</v>
      </c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6" s="64" customFormat="1" ht="12.75">
      <c r="A258" s="67">
        <v>4</v>
      </c>
      <c r="B258" s="68" t="s">
        <v>342</v>
      </c>
      <c r="C258" s="69">
        <f t="shared" si="63"/>
        <v>25288.62</v>
      </c>
      <c r="D258" s="69">
        <f>D261+D259+D260</f>
        <v>0</v>
      </c>
      <c r="E258" s="69">
        <f aca="true" t="shared" si="67" ref="E258:O258">E261+E259+E260</f>
        <v>0</v>
      </c>
      <c r="F258" s="69">
        <f t="shared" si="67"/>
        <v>1309.86</v>
      </c>
      <c r="G258" s="69">
        <f t="shared" si="67"/>
        <v>10482.3</v>
      </c>
      <c r="H258" s="69">
        <f t="shared" si="67"/>
        <v>0</v>
      </c>
      <c r="I258" s="69">
        <f t="shared" si="67"/>
        <v>7861.4400000000005</v>
      </c>
      <c r="J258" s="69">
        <f t="shared" si="67"/>
        <v>0</v>
      </c>
      <c r="K258" s="69">
        <f t="shared" si="67"/>
        <v>0</v>
      </c>
      <c r="L258" s="69">
        <f t="shared" si="67"/>
        <v>0</v>
      </c>
      <c r="M258" s="69">
        <f t="shared" si="67"/>
        <v>0</v>
      </c>
      <c r="N258" s="69">
        <f t="shared" si="67"/>
        <v>0</v>
      </c>
      <c r="O258" s="69">
        <f t="shared" si="67"/>
        <v>5635.02</v>
      </c>
      <c r="P258" s="116"/>
    </row>
    <row r="259" spans="1:15" ht="38.25">
      <c r="A259" s="74"/>
      <c r="B259" s="90" t="s">
        <v>291</v>
      </c>
      <c r="C259" s="11">
        <f t="shared" si="63"/>
        <v>1309.86</v>
      </c>
      <c r="D259" s="11"/>
      <c r="E259" s="11"/>
      <c r="F259" s="11">
        <v>1309.86</v>
      </c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38.25">
      <c r="A260" s="74"/>
      <c r="B260" s="90" t="s">
        <v>306</v>
      </c>
      <c r="C260" s="11">
        <f t="shared" si="63"/>
        <v>7861.4400000000005</v>
      </c>
      <c r="D260" s="11"/>
      <c r="E260" s="11"/>
      <c r="F260" s="11"/>
      <c r="G260" s="11"/>
      <c r="H260" s="11"/>
      <c r="I260" s="11">
        <f>6896+965.44</f>
        <v>7861.4400000000005</v>
      </c>
      <c r="J260" s="11"/>
      <c r="K260" s="11"/>
      <c r="L260" s="11"/>
      <c r="M260" s="11"/>
      <c r="N260" s="11"/>
      <c r="O260" s="11"/>
    </row>
    <row r="261" spans="1:15" ht="38.25">
      <c r="A261" s="74"/>
      <c r="B261" s="90" t="s">
        <v>298</v>
      </c>
      <c r="C261" s="11">
        <f aca="true" t="shared" si="68" ref="C261:C287">SUM(D261:O261)</f>
        <v>16117.32</v>
      </c>
      <c r="D261" s="11"/>
      <c r="E261" s="11"/>
      <c r="F261" s="11"/>
      <c r="G261" s="11">
        <f>9195+1287.3</f>
        <v>10482.3</v>
      </c>
      <c r="H261" s="11"/>
      <c r="I261" s="11"/>
      <c r="J261" s="11"/>
      <c r="K261" s="11"/>
      <c r="L261" s="11"/>
      <c r="M261" s="11"/>
      <c r="N261" s="11"/>
      <c r="O261" s="11">
        <f>4943+692.02</f>
        <v>5635.02</v>
      </c>
    </row>
    <row r="262" spans="1:15" s="64" customFormat="1" ht="12.75">
      <c r="A262" s="67">
        <v>5</v>
      </c>
      <c r="B262" s="68" t="s">
        <v>292</v>
      </c>
      <c r="C262" s="69">
        <f t="shared" si="68"/>
        <v>2751.96</v>
      </c>
      <c r="D262" s="69">
        <f>D263</f>
        <v>0</v>
      </c>
      <c r="E262" s="69">
        <f>E263</f>
        <v>0</v>
      </c>
      <c r="F262" s="69">
        <f>F263</f>
        <v>2751.96</v>
      </c>
      <c r="G262" s="69">
        <f aca="true" t="shared" si="69" ref="G262:O262">G263</f>
        <v>0</v>
      </c>
      <c r="H262" s="69">
        <f t="shared" si="69"/>
        <v>0</v>
      </c>
      <c r="I262" s="69">
        <f t="shared" si="69"/>
        <v>0</v>
      </c>
      <c r="J262" s="69">
        <f t="shared" si="69"/>
        <v>0</v>
      </c>
      <c r="K262" s="69">
        <f t="shared" si="69"/>
        <v>0</v>
      </c>
      <c r="L262" s="69">
        <f t="shared" si="69"/>
        <v>0</v>
      </c>
      <c r="M262" s="69">
        <f t="shared" si="69"/>
        <v>0</v>
      </c>
      <c r="N262" s="69">
        <f t="shared" si="69"/>
        <v>0</v>
      </c>
      <c r="O262" s="69">
        <f t="shared" si="69"/>
        <v>0</v>
      </c>
    </row>
    <row r="263" spans="1:15" ht="25.5">
      <c r="A263" s="74"/>
      <c r="B263" s="90" t="s">
        <v>411</v>
      </c>
      <c r="C263" s="11">
        <f t="shared" si="68"/>
        <v>2751.96</v>
      </c>
      <c r="D263" s="11"/>
      <c r="E263" s="11"/>
      <c r="F263" s="11">
        <f>2414+337.96</f>
        <v>2751.96</v>
      </c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s="64" customFormat="1" ht="12.75">
      <c r="A264" s="67">
        <v>6</v>
      </c>
      <c r="B264" s="68" t="s">
        <v>293</v>
      </c>
      <c r="C264" s="69">
        <f t="shared" si="68"/>
        <v>25905.359999999997</v>
      </c>
      <c r="D264" s="69">
        <f>D265</f>
        <v>0</v>
      </c>
      <c r="E264" s="69">
        <f aca="true" t="shared" si="70" ref="E264:O264">E265</f>
        <v>0</v>
      </c>
      <c r="F264" s="69">
        <f t="shared" si="70"/>
        <v>25905.359999999997</v>
      </c>
      <c r="G264" s="69">
        <f t="shared" si="70"/>
        <v>0</v>
      </c>
      <c r="H264" s="69">
        <f t="shared" si="70"/>
        <v>0</v>
      </c>
      <c r="I264" s="69">
        <f t="shared" si="70"/>
        <v>0</v>
      </c>
      <c r="J264" s="69">
        <f t="shared" si="70"/>
        <v>0</v>
      </c>
      <c r="K264" s="69">
        <f t="shared" si="70"/>
        <v>0</v>
      </c>
      <c r="L264" s="69">
        <f t="shared" si="70"/>
        <v>0</v>
      </c>
      <c r="M264" s="69">
        <f t="shared" si="70"/>
        <v>0</v>
      </c>
      <c r="N264" s="69">
        <f t="shared" si="70"/>
        <v>0</v>
      </c>
      <c r="O264" s="69">
        <f t="shared" si="70"/>
        <v>0</v>
      </c>
    </row>
    <row r="265" spans="1:15" ht="25.5">
      <c r="A265" s="74"/>
      <c r="B265" s="90" t="s">
        <v>294</v>
      </c>
      <c r="C265" s="11">
        <f t="shared" si="68"/>
        <v>25905.359999999997</v>
      </c>
      <c r="D265" s="11"/>
      <c r="E265" s="11"/>
      <c r="F265" s="11">
        <f>22724+1817.92+1363.44</f>
        <v>25905.359999999997</v>
      </c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s="64" customFormat="1" ht="12.75">
      <c r="A266" s="67">
        <v>7</v>
      </c>
      <c r="B266" s="68" t="s">
        <v>62</v>
      </c>
      <c r="C266" s="69">
        <f t="shared" si="68"/>
        <v>5896.08</v>
      </c>
      <c r="D266" s="69">
        <f>D267</f>
        <v>0</v>
      </c>
      <c r="E266" s="69">
        <f aca="true" t="shared" si="71" ref="E266:O266">E267</f>
        <v>0</v>
      </c>
      <c r="F266" s="69">
        <f t="shared" si="71"/>
        <v>0</v>
      </c>
      <c r="G266" s="69">
        <f t="shared" si="71"/>
        <v>5896.08</v>
      </c>
      <c r="H266" s="69">
        <f t="shared" si="71"/>
        <v>0</v>
      </c>
      <c r="I266" s="69">
        <f t="shared" si="71"/>
        <v>0</v>
      </c>
      <c r="J266" s="69">
        <f t="shared" si="71"/>
        <v>0</v>
      </c>
      <c r="K266" s="69">
        <f t="shared" si="71"/>
        <v>0</v>
      </c>
      <c r="L266" s="69">
        <f t="shared" si="71"/>
        <v>0</v>
      </c>
      <c r="M266" s="69">
        <f t="shared" si="71"/>
        <v>0</v>
      </c>
      <c r="N266" s="69">
        <f t="shared" si="71"/>
        <v>0</v>
      </c>
      <c r="O266" s="91">
        <f t="shared" si="71"/>
        <v>0</v>
      </c>
    </row>
    <row r="267" spans="1:15" ht="38.25">
      <c r="A267" s="74"/>
      <c r="B267" s="90" t="s">
        <v>299</v>
      </c>
      <c r="C267" s="11">
        <f t="shared" si="68"/>
        <v>5896.08</v>
      </c>
      <c r="D267" s="11"/>
      <c r="E267" s="11"/>
      <c r="F267" s="11"/>
      <c r="G267" s="11">
        <f>5172+724.08</f>
        <v>5896.08</v>
      </c>
      <c r="H267" s="11"/>
      <c r="I267" s="11"/>
      <c r="J267" s="11"/>
      <c r="K267" s="11"/>
      <c r="L267" s="11"/>
      <c r="M267" s="11"/>
      <c r="N267" s="11"/>
      <c r="O267" s="11"/>
    </row>
    <row r="268" spans="1:15" s="64" customFormat="1" ht="12.75">
      <c r="A268" s="67">
        <v>8</v>
      </c>
      <c r="B268" s="68" t="s">
        <v>296</v>
      </c>
      <c r="C268" s="69">
        <f t="shared" si="68"/>
        <v>2620.86</v>
      </c>
      <c r="D268" s="69">
        <f>D269</f>
        <v>0</v>
      </c>
      <c r="E268" s="69">
        <f aca="true" t="shared" si="72" ref="E268:O268">E269</f>
        <v>0</v>
      </c>
      <c r="F268" s="69">
        <f t="shared" si="72"/>
        <v>0</v>
      </c>
      <c r="G268" s="69">
        <f t="shared" si="72"/>
        <v>2620.86</v>
      </c>
      <c r="H268" s="69">
        <f t="shared" si="72"/>
        <v>0</v>
      </c>
      <c r="I268" s="69">
        <f t="shared" si="72"/>
        <v>0</v>
      </c>
      <c r="J268" s="69">
        <f t="shared" si="72"/>
        <v>0</v>
      </c>
      <c r="K268" s="69">
        <f t="shared" si="72"/>
        <v>0</v>
      </c>
      <c r="L268" s="69">
        <f t="shared" si="72"/>
        <v>0</v>
      </c>
      <c r="M268" s="69">
        <f t="shared" si="72"/>
        <v>0</v>
      </c>
      <c r="N268" s="69">
        <f t="shared" si="72"/>
        <v>0</v>
      </c>
      <c r="O268" s="69">
        <f t="shared" si="72"/>
        <v>0</v>
      </c>
    </row>
    <row r="269" spans="1:15" ht="51">
      <c r="A269" s="74"/>
      <c r="B269" s="90" t="s">
        <v>297</v>
      </c>
      <c r="C269" s="11">
        <f t="shared" si="68"/>
        <v>2620.86</v>
      </c>
      <c r="D269" s="11"/>
      <c r="E269" s="11"/>
      <c r="F269" s="11"/>
      <c r="G269" s="11">
        <f>2299+321.86</f>
        <v>2620.86</v>
      </c>
      <c r="H269" s="11"/>
      <c r="I269" s="11"/>
      <c r="J269" s="11"/>
      <c r="K269" s="11"/>
      <c r="L269" s="11"/>
      <c r="M269" s="11"/>
      <c r="N269" s="11"/>
      <c r="O269" s="11"/>
    </row>
    <row r="270" spans="1:15" s="64" customFormat="1" ht="12.75">
      <c r="A270" s="67">
        <v>9</v>
      </c>
      <c r="B270" s="68" t="s">
        <v>300</v>
      </c>
      <c r="C270" s="69">
        <f t="shared" si="68"/>
        <v>25211.1</v>
      </c>
      <c r="D270" s="69">
        <f>D275+D271+D274+D273+D272</f>
        <v>0</v>
      </c>
      <c r="E270" s="69">
        <f aca="true" t="shared" si="73" ref="E270:O270">E275+E271+E274+E273+E272</f>
        <v>0</v>
      </c>
      <c r="F270" s="69">
        <f t="shared" si="73"/>
        <v>0</v>
      </c>
      <c r="G270" s="69">
        <f t="shared" si="73"/>
        <v>0</v>
      </c>
      <c r="H270" s="69">
        <f t="shared" si="73"/>
        <v>5241.72</v>
      </c>
      <c r="I270" s="69">
        <f t="shared" si="73"/>
        <v>9172.44</v>
      </c>
      <c r="J270" s="69">
        <f t="shared" si="73"/>
        <v>1965.3600000000001</v>
      </c>
      <c r="K270" s="69">
        <f t="shared" si="73"/>
        <v>0</v>
      </c>
      <c r="L270" s="69">
        <f t="shared" si="73"/>
        <v>2280</v>
      </c>
      <c r="M270" s="69">
        <f t="shared" si="73"/>
        <v>6551.58</v>
      </c>
      <c r="N270" s="69">
        <f t="shared" si="73"/>
        <v>0</v>
      </c>
      <c r="O270" s="69">
        <f t="shared" si="73"/>
        <v>0</v>
      </c>
    </row>
    <row r="271" spans="1:15" ht="25.5">
      <c r="A271" s="74"/>
      <c r="B271" s="90" t="s">
        <v>305</v>
      </c>
      <c r="C271" s="11">
        <f t="shared" si="68"/>
        <v>3930.7200000000003</v>
      </c>
      <c r="D271" s="11"/>
      <c r="E271" s="11"/>
      <c r="F271" s="11"/>
      <c r="G271" s="11"/>
      <c r="H271" s="11"/>
      <c r="I271" s="11">
        <f>3448+482.72</f>
        <v>3930.7200000000003</v>
      </c>
      <c r="J271" s="11"/>
      <c r="K271" s="11"/>
      <c r="L271" s="11"/>
      <c r="M271" s="11"/>
      <c r="N271" s="11"/>
      <c r="O271" s="11"/>
    </row>
    <row r="272" spans="1:15" ht="63.75">
      <c r="A272" s="74"/>
      <c r="B272" s="90" t="s">
        <v>309</v>
      </c>
      <c r="C272" s="11">
        <f t="shared" si="68"/>
        <v>6551.58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>
        <f>5747+804.58</f>
        <v>6551.58</v>
      </c>
      <c r="N272" s="11"/>
      <c r="O272" s="11"/>
    </row>
    <row r="273" spans="1:15" ht="12.75">
      <c r="A273" s="74"/>
      <c r="B273" s="90" t="s">
        <v>346</v>
      </c>
      <c r="C273" s="11">
        <f t="shared" si="68"/>
        <v>2280</v>
      </c>
      <c r="D273" s="11"/>
      <c r="E273" s="12"/>
      <c r="F273" s="12"/>
      <c r="G273" s="12"/>
      <c r="H273" s="12"/>
      <c r="I273" s="12"/>
      <c r="J273" s="12"/>
      <c r="K273" s="11"/>
      <c r="L273" s="11">
        <f>2000+280</f>
        <v>2280</v>
      </c>
      <c r="M273" s="12"/>
      <c r="N273" s="11"/>
      <c r="O273" s="11"/>
    </row>
    <row r="274" spans="1:15" ht="12.75">
      <c r="A274" s="74"/>
      <c r="B274" s="90" t="s">
        <v>152</v>
      </c>
      <c r="C274" s="11">
        <f t="shared" si="68"/>
        <v>1965.3600000000001</v>
      </c>
      <c r="D274" s="11"/>
      <c r="E274" s="11"/>
      <c r="F274" s="12"/>
      <c r="G274" s="12"/>
      <c r="H274" s="12"/>
      <c r="I274" s="11"/>
      <c r="J274" s="11">
        <f>1724+241.36</f>
        <v>1965.3600000000001</v>
      </c>
      <c r="K274" s="11"/>
      <c r="L274" s="11"/>
      <c r="M274" s="11"/>
      <c r="N274" s="11"/>
      <c r="O274" s="11"/>
    </row>
    <row r="275" spans="1:15" ht="25.5">
      <c r="A275" s="74"/>
      <c r="B275" s="90" t="s">
        <v>301</v>
      </c>
      <c r="C275" s="11">
        <f t="shared" si="68"/>
        <v>10483.44</v>
      </c>
      <c r="D275" s="12"/>
      <c r="E275" s="12"/>
      <c r="F275" s="12"/>
      <c r="G275" s="12"/>
      <c r="H275" s="12">
        <f>4598+367.84+275.88</f>
        <v>5241.72</v>
      </c>
      <c r="I275" s="11">
        <f>4598+643.72</f>
        <v>5241.72</v>
      </c>
      <c r="J275" s="11"/>
      <c r="K275" s="11"/>
      <c r="L275" s="11"/>
      <c r="M275" s="11"/>
      <c r="N275" s="11"/>
      <c r="O275" s="11"/>
    </row>
    <row r="276" spans="1:15" s="64" customFormat="1" ht="12.75">
      <c r="A276" s="67">
        <v>10</v>
      </c>
      <c r="B276" s="68" t="s">
        <v>302</v>
      </c>
      <c r="C276" s="69">
        <f t="shared" si="68"/>
        <v>35806.32</v>
      </c>
      <c r="D276" s="69">
        <f aca="true" t="shared" si="74" ref="D276:O276">D278+D277</f>
        <v>0</v>
      </c>
      <c r="E276" s="91">
        <f t="shared" si="74"/>
        <v>0</v>
      </c>
      <c r="F276" s="91">
        <f t="shared" si="74"/>
        <v>0</v>
      </c>
      <c r="G276" s="69">
        <f t="shared" si="74"/>
        <v>0</v>
      </c>
      <c r="H276" s="69">
        <f t="shared" si="74"/>
        <v>1200</v>
      </c>
      <c r="I276" s="69">
        <f t="shared" si="74"/>
        <v>26206.32</v>
      </c>
      <c r="J276" s="69">
        <f t="shared" si="74"/>
        <v>1200</v>
      </c>
      <c r="K276" s="69">
        <f t="shared" si="74"/>
        <v>2400</v>
      </c>
      <c r="L276" s="69">
        <f t="shared" si="74"/>
        <v>0</v>
      </c>
      <c r="M276" s="69">
        <f t="shared" si="74"/>
        <v>1200</v>
      </c>
      <c r="N276" s="69">
        <f t="shared" si="74"/>
        <v>1200</v>
      </c>
      <c r="O276" s="69">
        <f t="shared" si="74"/>
        <v>2400</v>
      </c>
    </row>
    <row r="277" spans="1:15" ht="12.75">
      <c r="A277" s="74"/>
      <c r="B277" s="90" t="s">
        <v>329</v>
      </c>
      <c r="C277" s="11">
        <f t="shared" si="68"/>
        <v>9600</v>
      </c>
      <c r="D277" s="118"/>
      <c r="E277" s="12"/>
      <c r="F277" s="12"/>
      <c r="G277" s="12"/>
      <c r="H277" s="12">
        <v>1200</v>
      </c>
      <c r="I277" s="11"/>
      <c r="J277" s="11">
        <v>1200</v>
      </c>
      <c r="K277" s="11">
        <v>2400</v>
      </c>
      <c r="L277" s="11"/>
      <c r="M277" s="11">
        <v>1200</v>
      </c>
      <c r="N277" s="11">
        <v>1200</v>
      </c>
      <c r="O277" s="11">
        <v>2400</v>
      </c>
    </row>
    <row r="278" spans="1:15" ht="38.25">
      <c r="A278" s="74"/>
      <c r="B278" s="90" t="s">
        <v>303</v>
      </c>
      <c r="C278" s="11">
        <f t="shared" si="68"/>
        <v>26206.32</v>
      </c>
      <c r="D278" s="11"/>
      <c r="E278" s="11"/>
      <c r="F278" s="11"/>
      <c r="G278" s="11"/>
      <c r="H278" s="12"/>
      <c r="I278" s="11">
        <f>22988+3218.32</f>
        <v>26206.32</v>
      </c>
      <c r="J278" s="11"/>
      <c r="K278" s="11"/>
      <c r="L278" s="11"/>
      <c r="M278" s="11"/>
      <c r="N278" s="11"/>
      <c r="O278" s="11"/>
    </row>
    <row r="279" spans="1:15" s="64" customFormat="1" ht="12.75">
      <c r="A279" s="67">
        <v>11</v>
      </c>
      <c r="B279" s="68" t="s">
        <v>63</v>
      </c>
      <c r="C279" s="69">
        <f t="shared" si="68"/>
        <v>35379.9</v>
      </c>
      <c r="D279" s="69">
        <f>D280+D281</f>
        <v>0</v>
      </c>
      <c r="E279" s="69">
        <f aca="true" t="shared" si="75" ref="E279:O279">E280+E281</f>
        <v>0</v>
      </c>
      <c r="F279" s="69">
        <f t="shared" si="75"/>
        <v>0</v>
      </c>
      <c r="G279" s="69">
        <f t="shared" si="75"/>
        <v>0</v>
      </c>
      <c r="H279" s="69">
        <f t="shared" si="75"/>
        <v>0</v>
      </c>
      <c r="I279" s="69">
        <f t="shared" si="75"/>
        <v>32759.04</v>
      </c>
      <c r="J279" s="69">
        <f t="shared" si="75"/>
        <v>0</v>
      </c>
      <c r="K279" s="69">
        <f t="shared" si="75"/>
        <v>0</v>
      </c>
      <c r="L279" s="69">
        <f t="shared" si="75"/>
        <v>2620.86</v>
      </c>
      <c r="M279" s="69">
        <f t="shared" si="75"/>
        <v>0</v>
      </c>
      <c r="N279" s="69">
        <f t="shared" si="75"/>
        <v>0</v>
      </c>
      <c r="O279" s="69">
        <f t="shared" si="75"/>
        <v>0</v>
      </c>
    </row>
    <row r="280" spans="1:15" ht="51">
      <c r="A280" s="74"/>
      <c r="B280" s="90" t="s">
        <v>304</v>
      </c>
      <c r="C280" s="11">
        <f t="shared" si="68"/>
        <v>32759.04</v>
      </c>
      <c r="D280" s="11"/>
      <c r="E280" s="11"/>
      <c r="F280" s="11"/>
      <c r="G280" s="11"/>
      <c r="H280" s="11"/>
      <c r="I280" s="11">
        <f>28736+2298.88+1724.16</f>
        <v>32759.04</v>
      </c>
      <c r="J280" s="11"/>
      <c r="K280" s="11"/>
      <c r="L280" s="11"/>
      <c r="M280" s="11"/>
      <c r="N280" s="11"/>
      <c r="O280" s="11"/>
    </row>
    <row r="281" spans="1:15" ht="25.5">
      <c r="A281" s="74"/>
      <c r="B281" s="90" t="s">
        <v>307</v>
      </c>
      <c r="C281" s="11">
        <f t="shared" si="68"/>
        <v>2620.86</v>
      </c>
      <c r="D281" s="11"/>
      <c r="E281" s="12"/>
      <c r="F281" s="11"/>
      <c r="G281" s="11"/>
      <c r="H281" s="11"/>
      <c r="I281" s="11"/>
      <c r="J281" s="11"/>
      <c r="K281" s="11"/>
      <c r="L281" s="11">
        <f>2299+321.86</f>
        <v>2620.86</v>
      </c>
      <c r="M281" s="11"/>
      <c r="N281" s="11"/>
      <c r="O281" s="11"/>
    </row>
    <row r="282" spans="1:15" s="64" customFormat="1" ht="12.75">
      <c r="A282" s="67">
        <v>12</v>
      </c>
      <c r="B282" s="68" t="s">
        <v>310</v>
      </c>
      <c r="C282" s="69">
        <f t="shared" si="68"/>
        <v>5241.72</v>
      </c>
      <c r="D282" s="69">
        <f>D283</f>
        <v>0</v>
      </c>
      <c r="E282" s="69">
        <f aca="true" t="shared" si="76" ref="E282:O282">E283</f>
        <v>0</v>
      </c>
      <c r="F282" s="69">
        <f t="shared" si="76"/>
        <v>0</v>
      </c>
      <c r="G282" s="69">
        <f t="shared" si="76"/>
        <v>0</v>
      </c>
      <c r="H282" s="69">
        <f t="shared" si="76"/>
        <v>0</v>
      </c>
      <c r="I282" s="69">
        <f t="shared" si="76"/>
        <v>0</v>
      </c>
      <c r="J282" s="69">
        <f t="shared" si="76"/>
        <v>0</v>
      </c>
      <c r="K282" s="69">
        <f t="shared" si="76"/>
        <v>0</v>
      </c>
      <c r="L282" s="69">
        <f t="shared" si="76"/>
        <v>0</v>
      </c>
      <c r="M282" s="69">
        <f t="shared" si="76"/>
        <v>5241.72</v>
      </c>
      <c r="N282" s="69">
        <f t="shared" si="76"/>
        <v>0</v>
      </c>
      <c r="O282" s="69">
        <f t="shared" si="76"/>
        <v>0</v>
      </c>
    </row>
    <row r="283" spans="1:15" ht="63.75">
      <c r="A283" s="74"/>
      <c r="B283" s="90" t="s">
        <v>311</v>
      </c>
      <c r="C283" s="11">
        <f t="shared" si="68"/>
        <v>5241.72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>
        <f>4598+643.72</f>
        <v>5241.72</v>
      </c>
      <c r="N283" s="11"/>
      <c r="O283" s="11"/>
    </row>
    <row r="284" spans="1:15" s="64" customFormat="1" ht="12.75">
      <c r="A284" s="67">
        <v>13</v>
      </c>
      <c r="B284" s="68" t="s">
        <v>312</v>
      </c>
      <c r="C284" s="69">
        <f t="shared" si="68"/>
        <v>26206.32</v>
      </c>
      <c r="D284" s="69">
        <f>D285</f>
        <v>0</v>
      </c>
      <c r="E284" s="69">
        <f aca="true" t="shared" si="77" ref="E284:O284">E285</f>
        <v>0</v>
      </c>
      <c r="F284" s="69">
        <f t="shared" si="77"/>
        <v>0</v>
      </c>
      <c r="G284" s="69">
        <f t="shared" si="77"/>
        <v>0</v>
      </c>
      <c r="H284" s="69">
        <f t="shared" si="77"/>
        <v>0</v>
      </c>
      <c r="I284" s="69">
        <f t="shared" si="77"/>
        <v>0</v>
      </c>
      <c r="J284" s="69">
        <f t="shared" si="77"/>
        <v>0</v>
      </c>
      <c r="K284" s="69">
        <f t="shared" si="77"/>
        <v>0</v>
      </c>
      <c r="L284" s="69">
        <f t="shared" si="77"/>
        <v>0</v>
      </c>
      <c r="M284" s="69">
        <f t="shared" si="77"/>
        <v>26206.32</v>
      </c>
      <c r="N284" s="69">
        <f t="shared" si="77"/>
        <v>0</v>
      </c>
      <c r="O284" s="69">
        <f t="shared" si="77"/>
        <v>0</v>
      </c>
    </row>
    <row r="285" spans="1:15" ht="25.5">
      <c r="A285" s="74"/>
      <c r="B285" s="90" t="s">
        <v>313</v>
      </c>
      <c r="C285" s="11">
        <f t="shared" si="68"/>
        <v>26206.32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>
        <f>22988+3218.32</f>
        <v>26206.32</v>
      </c>
      <c r="N285" s="11"/>
      <c r="O285" s="11"/>
    </row>
    <row r="286" spans="1:15" s="64" customFormat="1" ht="12.75">
      <c r="A286" s="67">
        <v>14</v>
      </c>
      <c r="B286" s="68" t="s">
        <v>314</v>
      </c>
      <c r="C286" s="69">
        <f t="shared" si="68"/>
        <v>6555</v>
      </c>
      <c r="D286" s="69">
        <f>D287</f>
        <v>0</v>
      </c>
      <c r="E286" s="69">
        <f aca="true" t="shared" si="78" ref="E286:O286">E287</f>
        <v>0</v>
      </c>
      <c r="F286" s="69">
        <f t="shared" si="78"/>
        <v>0</v>
      </c>
      <c r="G286" s="69">
        <f t="shared" si="78"/>
        <v>0</v>
      </c>
      <c r="H286" s="69">
        <f t="shared" si="78"/>
        <v>0</v>
      </c>
      <c r="I286" s="69">
        <f t="shared" si="78"/>
        <v>0</v>
      </c>
      <c r="J286" s="69">
        <f t="shared" si="78"/>
        <v>0</v>
      </c>
      <c r="K286" s="69">
        <f t="shared" si="78"/>
        <v>0</v>
      </c>
      <c r="L286" s="69">
        <f t="shared" si="78"/>
        <v>0</v>
      </c>
      <c r="M286" s="69">
        <f t="shared" si="78"/>
        <v>6555</v>
      </c>
      <c r="N286" s="69">
        <f t="shared" si="78"/>
        <v>0</v>
      </c>
      <c r="O286" s="69">
        <f t="shared" si="78"/>
        <v>0</v>
      </c>
    </row>
    <row r="287" spans="1:15" ht="25.5">
      <c r="A287" s="111"/>
      <c r="B287" s="90" t="s">
        <v>315</v>
      </c>
      <c r="C287" s="11">
        <f t="shared" si="68"/>
        <v>6555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>
        <f>5750+805</f>
        <v>6555</v>
      </c>
      <c r="N287" s="11"/>
      <c r="O287" s="11"/>
    </row>
    <row r="288" spans="1:15" s="64" customFormat="1" ht="12.75">
      <c r="A288" s="67">
        <v>15</v>
      </c>
      <c r="B288" s="68" t="s">
        <v>31</v>
      </c>
      <c r="C288" s="69">
        <f aca="true" t="shared" si="79" ref="C288:C321">SUM(D288:O288)</f>
        <v>668028</v>
      </c>
      <c r="D288" s="69">
        <f>SUM(D289:D291)</f>
        <v>59544</v>
      </c>
      <c r="E288" s="69">
        <f aca="true" t="shared" si="80" ref="E288:O288">SUM(E289:E291)</f>
        <v>64544</v>
      </c>
      <c r="F288" s="69">
        <f t="shared" si="80"/>
        <v>64544</v>
      </c>
      <c r="G288" s="69">
        <f t="shared" si="80"/>
        <v>50044</v>
      </c>
      <c r="H288" s="69">
        <f t="shared" si="80"/>
        <v>50044</v>
      </c>
      <c r="I288" s="69">
        <f t="shared" si="80"/>
        <v>50044</v>
      </c>
      <c r="J288" s="69">
        <f t="shared" si="80"/>
        <v>50044</v>
      </c>
      <c r="K288" s="69">
        <f t="shared" si="80"/>
        <v>23000</v>
      </c>
      <c r="L288" s="69">
        <f t="shared" si="80"/>
        <v>77088</v>
      </c>
      <c r="M288" s="69">
        <f t="shared" si="80"/>
        <v>62044</v>
      </c>
      <c r="N288" s="69">
        <f t="shared" si="80"/>
        <v>50044</v>
      </c>
      <c r="O288" s="69">
        <f t="shared" si="80"/>
        <v>67044</v>
      </c>
    </row>
    <row r="289" spans="1:15" ht="25.5">
      <c r="A289" s="76"/>
      <c r="B289" s="90" t="s">
        <v>32</v>
      </c>
      <c r="C289" s="11">
        <f t="shared" si="79"/>
        <v>639028</v>
      </c>
      <c r="D289" s="11">
        <f>25000+34544</f>
        <v>59544</v>
      </c>
      <c r="E289" s="11">
        <f>34544+30000</f>
        <v>64544</v>
      </c>
      <c r="F289" s="12">
        <f>34544+30000</f>
        <v>64544</v>
      </c>
      <c r="G289" s="11">
        <f>30544+19500</f>
        <v>50044</v>
      </c>
      <c r="H289" s="11">
        <f>30544+19500</f>
        <v>50044</v>
      </c>
      <c r="I289" s="11">
        <f>30544+19500</f>
        <v>50044</v>
      </c>
      <c r="J289" s="11">
        <f>1500+29044+19500</f>
        <v>50044</v>
      </c>
      <c r="K289" s="11">
        <f>23000</f>
        <v>23000</v>
      </c>
      <c r="L289" s="11">
        <f>27044+23000+27044</f>
        <v>77088</v>
      </c>
      <c r="M289" s="11">
        <f>23000+27044</f>
        <v>50044</v>
      </c>
      <c r="N289" s="11">
        <f>23000+27044</f>
        <v>50044</v>
      </c>
      <c r="O289" s="11">
        <v>50044</v>
      </c>
    </row>
    <row r="290" spans="1:15" ht="25.5">
      <c r="A290" s="76"/>
      <c r="B290" s="90" t="s">
        <v>362</v>
      </c>
      <c r="C290" s="11">
        <f t="shared" si="79"/>
        <v>17000</v>
      </c>
      <c r="D290" s="11"/>
      <c r="E290" s="11"/>
      <c r="F290" s="12"/>
      <c r="G290" s="11"/>
      <c r="H290" s="11"/>
      <c r="I290" s="11"/>
      <c r="J290" s="11"/>
      <c r="K290" s="11"/>
      <c r="L290" s="11"/>
      <c r="M290" s="11"/>
      <c r="N290" s="11"/>
      <c r="O290" s="11">
        <v>17000</v>
      </c>
    </row>
    <row r="291" spans="1:15" ht="25.5">
      <c r="A291" s="74"/>
      <c r="B291" s="90" t="s">
        <v>166</v>
      </c>
      <c r="C291" s="11">
        <f t="shared" si="79"/>
        <v>12000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>
        <v>12000</v>
      </c>
      <c r="N291" s="11"/>
      <c r="O291" s="11"/>
    </row>
    <row r="292" spans="1:15" s="64" customFormat="1" ht="12.75">
      <c r="A292" s="67">
        <v>16</v>
      </c>
      <c r="B292" s="68" t="s">
        <v>33</v>
      </c>
      <c r="C292" s="69">
        <f t="shared" si="79"/>
        <v>13600</v>
      </c>
      <c r="D292" s="69">
        <f>SUM(D293:D295)</f>
        <v>0</v>
      </c>
      <c r="E292" s="69">
        <f aca="true" t="shared" si="81" ref="E292:O292">SUM(E293:E295)</f>
        <v>0</v>
      </c>
      <c r="F292" s="69">
        <f t="shared" si="81"/>
        <v>0</v>
      </c>
      <c r="G292" s="69">
        <f t="shared" si="81"/>
        <v>6800</v>
      </c>
      <c r="H292" s="69">
        <f t="shared" si="81"/>
        <v>6800</v>
      </c>
      <c r="I292" s="69">
        <f t="shared" si="81"/>
        <v>0</v>
      </c>
      <c r="J292" s="69">
        <f t="shared" si="81"/>
        <v>0</v>
      </c>
      <c r="K292" s="69">
        <f t="shared" si="81"/>
        <v>0</v>
      </c>
      <c r="L292" s="69">
        <f t="shared" si="81"/>
        <v>0</v>
      </c>
      <c r="M292" s="69">
        <f t="shared" si="81"/>
        <v>0</v>
      </c>
      <c r="N292" s="69">
        <f t="shared" si="81"/>
        <v>0</v>
      </c>
      <c r="O292" s="69">
        <f t="shared" si="81"/>
        <v>0</v>
      </c>
    </row>
    <row r="293" spans="1:15" ht="12.75">
      <c r="A293" s="74"/>
      <c r="B293" s="90" t="s">
        <v>36</v>
      </c>
      <c r="C293" s="11">
        <f t="shared" si="79"/>
        <v>0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25.5">
      <c r="A294" s="76"/>
      <c r="B294" s="90" t="s">
        <v>254</v>
      </c>
      <c r="C294" s="11">
        <f t="shared" si="79"/>
        <v>13600</v>
      </c>
      <c r="D294" s="11"/>
      <c r="E294" s="11"/>
      <c r="F294" s="11"/>
      <c r="G294" s="11">
        <v>6800</v>
      </c>
      <c r="H294" s="11">
        <v>6800</v>
      </c>
      <c r="I294" s="11"/>
      <c r="J294" s="11"/>
      <c r="K294" s="11"/>
      <c r="L294" s="11"/>
      <c r="M294" s="11"/>
      <c r="N294" s="11"/>
      <c r="O294" s="11"/>
    </row>
    <row r="295" spans="1:15" ht="12.75">
      <c r="A295" s="76"/>
      <c r="B295" s="90" t="s">
        <v>64</v>
      </c>
      <c r="C295" s="11">
        <f t="shared" si="79"/>
        <v>0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s="64" customFormat="1" ht="12.75">
      <c r="A296" s="67">
        <v>17</v>
      </c>
      <c r="B296" s="68" t="s">
        <v>34</v>
      </c>
      <c r="C296" s="69">
        <f t="shared" si="79"/>
        <v>349593.65</v>
      </c>
      <c r="D296" s="69">
        <f>SUM(D297:D302)</f>
        <v>25850</v>
      </c>
      <c r="E296" s="69">
        <f aca="true" t="shared" si="82" ref="E296:O296">SUM(E297:E302)</f>
        <v>25650</v>
      </c>
      <c r="F296" s="69">
        <f t="shared" si="82"/>
        <v>25850</v>
      </c>
      <c r="G296" s="69">
        <f t="shared" si="82"/>
        <v>25950</v>
      </c>
      <c r="H296" s="69">
        <f t="shared" si="82"/>
        <v>50643.65</v>
      </c>
      <c r="I296" s="69">
        <f t="shared" si="82"/>
        <v>25950</v>
      </c>
      <c r="J296" s="69">
        <f t="shared" si="82"/>
        <v>25950</v>
      </c>
      <c r="K296" s="69">
        <f t="shared" si="82"/>
        <v>40950</v>
      </c>
      <c r="L296" s="69">
        <f t="shared" si="82"/>
        <v>0</v>
      </c>
      <c r="M296" s="69">
        <f t="shared" si="82"/>
        <v>51600</v>
      </c>
      <c r="N296" s="69">
        <f t="shared" si="82"/>
        <v>25550</v>
      </c>
      <c r="O296" s="69">
        <f t="shared" si="82"/>
        <v>25650</v>
      </c>
    </row>
    <row r="297" spans="1:15" ht="25.5">
      <c r="A297" s="74"/>
      <c r="B297" s="90" t="s">
        <v>38</v>
      </c>
      <c r="C297" s="11">
        <f t="shared" si="79"/>
        <v>257500</v>
      </c>
      <c r="D297" s="11">
        <v>21500</v>
      </c>
      <c r="E297" s="11">
        <v>21300</v>
      </c>
      <c r="F297" s="11">
        <v>21500</v>
      </c>
      <c r="G297" s="11">
        <v>21600</v>
      </c>
      <c r="H297" s="11">
        <v>21400</v>
      </c>
      <c r="I297" s="11">
        <v>21600</v>
      </c>
      <c r="J297" s="11">
        <v>21600</v>
      </c>
      <c r="K297" s="11">
        <v>21600</v>
      </c>
      <c r="L297" s="11"/>
      <c r="M297" s="11">
        <f>21600+21300</f>
        <v>42900</v>
      </c>
      <c r="N297" s="11">
        <v>21200</v>
      </c>
      <c r="O297" s="11">
        <v>21300</v>
      </c>
    </row>
    <row r="298" spans="1:15" ht="25.5">
      <c r="A298" s="74"/>
      <c r="B298" s="90" t="s">
        <v>35</v>
      </c>
      <c r="C298" s="11">
        <f t="shared" si="79"/>
        <v>52200</v>
      </c>
      <c r="D298" s="11">
        <v>4350</v>
      </c>
      <c r="E298" s="11">
        <v>4350</v>
      </c>
      <c r="F298" s="11">
        <v>4350</v>
      </c>
      <c r="G298" s="11">
        <v>4350</v>
      </c>
      <c r="H298" s="11">
        <v>4350</v>
      </c>
      <c r="I298" s="11">
        <v>4350</v>
      </c>
      <c r="J298" s="11">
        <v>4350</v>
      </c>
      <c r="K298" s="11">
        <v>4350</v>
      </c>
      <c r="L298" s="11"/>
      <c r="M298" s="11">
        <f>4350+4350</f>
        <v>8700</v>
      </c>
      <c r="N298" s="11">
        <v>4350</v>
      </c>
      <c r="O298" s="11">
        <v>4350</v>
      </c>
    </row>
    <row r="299" spans="1:15" ht="12.75">
      <c r="A299" s="74"/>
      <c r="B299" s="90" t="s">
        <v>36</v>
      </c>
      <c r="C299" s="11">
        <f t="shared" si="79"/>
        <v>0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25.5">
      <c r="A300" s="74"/>
      <c r="B300" s="90" t="s">
        <v>37</v>
      </c>
      <c r="C300" s="11">
        <f t="shared" si="79"/>
        <v>0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25.5">
      <c r="A301" s="74"/>
      <c r="B301" s="108" t="s">
        <v>263</v>
      </c>
      <c r="C301" s="11">
        <f t="shared" si="79"/>
        <v>9893.65</v>
      </c>
      <c r="D301" s="11"/>
      <c r="E301" s="11"/>
      <c r="F301" s="11"/>
      <c r="G301" s="11"/>
      <c r="H301" s="11">
        <f>4900+4993.65</f>
        <v>9893.65</v>
      </c>
      <c r="I301" s="11"/>
      <c r="J301" s="11"/>
      <c r="K301" s="11"/>
      <c r="L301" s="11"/>
      <c r="M301" s="11"/>
      <c r="N301" s="11"/>
      <c r="O301" s="11"/>
    </row>
    <row r="302" spans="1:15" ht="25.5">
      <c r="A302" s="74"/>
      <c r="B302" s="90" t="s">
        <v>316</v>
      </c>
      <c r="C302" s="11">
        <f t="shared" si="79"/>
        <v>30000</v>
      </c>
      <c r="D302" s="11"/>
      <c r="E302" s="11"/>
      <c r="F302" s="11"/>
      <c r="G302" s="11"/>
      <c r="H302" s="11">
        <v>15000</v>
      </c>
      <c r="I302" s="11"/>
      <c r="J302" s="11"/>
      <c r="K302" s="11">
        <v>15000</v>
      </c>
      <c r="L302" s="11"/>
      <c r="M302" s="11"/>
      <c r="N302" s="11"/>
      <c r="O302" s="11"/>
    </row>
    <row r="303" spans="1:15" s="64" customFormat="1" ht="12.75">
      <c r="A303" s="67">
        <v>18</v>
      </c>
      <c r="B303" s="88" t="s">
        <v>39</v>
      </c>
      <c r="C303" s="69">
        <f t="shared" si="79"/>
        <v>304385.45999999996</v>
      </c>
      <c r="D303" s="69">
        <f>SUM(D304:D305)</f>
        <v>22296.51</v>
      </c>
      <c r="E303" s="69">
        <f aca="true" t="shared" si="83" ref="E303:O303">SUM(E304:E305)</f>
        <v>22296.51</v>
      </c>
      <c r="F303" s="69">
        <f t="shared" si="83"/>
        <v>26086.92</v>
      </c>
      <c r="G303" s="69">
        <f t="shared" si="83"/>
        <v>26086.92</v>
      </c>
      <c r="H303" s="69">
        <f t="shared" si="83"/>
        <v>26086.92</v>
      </c>
      <c r="I303" s="69">
        <f t="shared" si="83"/>
        <v>26086.92</v>
      </c>
      <c r="J303" s="69">
        <f t="shared" si="83"/>
        <v>26086.92</v>
      </c>
      <c r="K303" s="69">
        <f t="shared" si="83"/>
        <v>26086.92</v>
      </c>
      <c r="L303" s="69">
        <f t="shared" si="83"/>
        <v>26086.92</v>
      </c>
      <c r="M303" s="69">
        <f t="shared" si="83"/>
        <v>0</v>
      </c>
      <c r="N303" s="69">
        <f t="shared" si="83"/>
        <v>38592</v>
      </c>
      <c r="O303" s="69">
        <f t="shared" si="83"/>
        <v>38592</v>
      </c>
    </row>
    <row r="304" spans="1:15" ht="12.75">
      <c r="A304" s="74"/>
      <c r="B304" s="90" t="s">
        <v>40</v>
      </c>
      <c r="C304" s="11">
        <f t="shared" si="79"/>
        <v>279375.29999999993</v>
      </c>
      <c r="D304" s="11">
        <v>22296.51</v>
      </c>
      <c r="E304" s="11">
        <v>22296.51</v>
      </c>
      <c r="F304" s="11">
        <v>26086.92</v>
      </c>
      <c r="G304" s="11">
        <v>26086.92</v>
      </c>
      <c r="H304" s="11">
        <v>26086.92</v>
      </c>
      <c r="I304" s="11">
        <v>26086.92</v>
      </c>
      <c r="J304" s="11">
        <v>26086.92</v>
      </c>
      <c r="K304" s="11">
        <v>26086.92</v>
      </c>
      <c r="L304" s="11">
        <v>26086.92</v>
      </c>
      <c r="M304" s="11"/>
      <c r="N304" s="11">
        <v>26086.92</v>
      </c>
      <c r="O304" s="11">
        <v>26086.92</v>
      </c>
    </row>
    <row r="305" spans="1:15" ht="12.75">
      <c r="A305" s="74"/>
      <c r="B305" s="127" t="s">
        <v>352</v>
      </c>
      <c r="C305" s="11">
        <f t="shared" si="79"/>
        <v>25010.16</v>
      </c>
      <c r="D305" s="11"/>
      <c r="E305" s="11"/>
      <c r="F305" s="11"/>
      <c r="G305" s="87"/>
      <c r="H305" s="87"/>
      <c r="I305" s="11"/>
      <c r="J305" s="11"/>
      <c r="K305" s="11"/>
      <c r="L305" s="11"/>
      <c r="M305" s="11"/>
      <c r="N305" s="11">
        <v>12505.08</v>
      </c>
      <c r="O305" s="11">
        <v>12505.08</v>
      </c>
    </row>
    <row r="306" spans="1:15" s="64" customFormat="1" ht="38.25">
      <c r="A306" s="67">
        <v>19</v>
      </c>
      <c r="B306" s="68" t="s">
        <v>69</v>
      </c>
      <c r="C306" s="69">
        <f t="shared" si="79"/>
        <v>11932.64</v>
      </c>
      <c r="D306" s="69">
        <v>5966.32</v>
      </c>
      <c r="E306" s="69">
        <v>5966.32</v>
      </c>
      <c r="F306" s="69"/>
      <c r="G306" s="69"/>
      <c r="H306" s="69"/>
      <c r="I306" s="69"/>
      <c r="J306" s="69"/>
      <c r="K306" s="69"/>
      <c r="L306" s="69"/>
      <c r="M306" s="69"/>
      <c r="N306" s="69"/>
      <c r="O306" s="69"/>
    </row>
    <row r="307" spans="1:15" s="64" customFormat="1" ht="25.5">
      <c r="A307" s="67">
        <v>20</v>
      </c>
      <c r="B307" s="68" t="s">
        <v>41</v>
      </c>
      <c r="C307" s="69">
        <f t="shared" si="79"/>
        <v>13600</v>
      </c>
      <c r="D307" s="69"/>
      <c r="E307" s="69"/>
      <c r="F307" s="69">
        <v>5100</v>
      </c>
      <c r="G307" s="69"/>
      <c r="H307" s="69"/>
      <c r="I307" s="69"/>
      <c r="J307" s="69"/>
      <c r="K307" s="69"/>
      <c r="L307" s="69"/>
      <c r="M307" s="69">
        <v>3400</v>
      </c>
      <c r="N307" s="69"/>
      <c r="O307" s="69">
        <v>5100</v>
      </c>
    </row>
    <row r="308" spans="1:15" s="64" customFormat="1" ht="12.75">
      <c r="A308" s="67">
        <v>22</v>
      </c>
      <c r="B308" s="68" t="s">
        <v>259</v>
      </c>
      <c r="C308" s="69">
        <f t="shared" si="79"/>
        <v>59080</v>
      </c>
      <c r="D308" s="69">
        <f>SUM(D309:D310)</f>
        <v>4830</v>
      </c>
      <c r="E308" s="69">
        <f aca="true" t="shared" si="84" ref="E308:O308">SUM(E309:E310)</f>
        <v>4830</v>
      </c>
      <c r="F308" s="69">
        <f t="shared" si="84"/>
        <v>4830</v>
      </c>
      <c r="G308" s="69">
        <f t="shared" si="84"/>
        <v>4830</v>
      </c>
      <c r="H308" s="69">
        <f t="shared" si="84"/>
        <v>5950</v>
      </c>
      <c r="I308" s="69">
        <f t="shared" si="84"/>
        <v>4830</v>
      </c>
      <c r="J308" s="69">
        <f t="shared" si="84"/>
        <v>4830</v>
      </c>
      <c r="K308" s="69">
        <f t="shared" si="84"/>
        <v>4830</v>
      </c>
      <c r="L308" s="69">
        <f t="shared" si="84"/>
        <v>4830</v>
      </c>
      <c r="M308" s="69">
        <f t="shared" si="84"/>
        <v>4830</v>
      </c>
      <c r="N308" s="69">
        <f t="shared" si="84"/>
        <v>4830</v>
      </c>
      <c r="O308" s="69">
        <f t="shared" si="84"/>
        <v>4830</v>
      </c>
    </row>
    <row r="309" spans="1:15" ht="12.75">
      <c r="A309" s="74"/>
      <c r="B309" s="90" t="s">
        <v>260</v>
      </c>
      <c r="C309" s="11">
        <f t="shared" si="79"/>
        <v>57960</v>
      </c>
      <c r="D309" s="11">
        <v>4830</v>
      </c>
      <c r="E309" s="11">
        <v>4830</v>
      </c>
      <c r="F309" s="11">
        <v>4830</v>
      </c>
      <c r="G309" s="11">
        <v>4830</v>
      </c>
      <c r="H309" s="12">
        <v>4830</v>
      </c>
      <c r="I309" s="11">
        <v>4830</v>
      </c>
      <c r="J309" s="11">
        <v>4830</v>
      </c>
      <c r="K309" s="11">
        <v>4830</v>
      </c>
      <c r="L309" s="11">
        <v>4830</v>
      </c>
      <c r="M309" s="11">
        <v>4830</v>
      </c>
      <c r="N309" s="11">
        <v>4830</v>
      </c>
      <c r="O309" s="11">
        <v>4830</v>
      </c>
    </row>
    <row r="310" spans="1:15" ht="12.75">
      <c r="A310" s="74"/>
      <c r="B310" s="90" t="s">
        <v>261</v>
      </c>
      <c r="C310" s="11">
        <f t="shared" si="79"/>
        <v>1120</v>
      </c>
      <c r="D310" s="11"/>
      <c r="E310" s="11"/>
      <c r="F310" s="11"/>
      <c r="G310" s="11"/>
      <c r="H310" s="11">
        <v>1120</v>
      </c>
      <c r="I310" s="11"/>
      <c r="J310" s="11"/>
      <c r="K310" s="11"/>
      <c r="L310" s="11"/>
      <c r="M310" s="11"/>
      <c r="N310" s="11"/>
      <c r="O310" s="11"/>
    </row>
    <row r="311" spans="1:15" s="64" customFormat="1" ht="25.5">
      <c r="A311" s="67">
        <v>23</v>
      </c>
      <c r="B311" s="68" t="s">
        <v>42</v>
      </c>
      <c r="C311" s="69">
        <f t="shared" si="79"/>
        <v>32459.02</v>
      </c>
      <c r="D311" s="69">
        <v>2950.82</v>
      </c>
      <c r="E311" s="69">
        <v>2950.82</v>
      </c>
      <c r="F311" s="69">
        <v>2950.82</v>
      </c>
      <c r="G311" s="69">
        <v>2950.82</v>
      </c>
      <c r="H311" s="69">
        <v>2950.82</v>
      </c>
      <c r="I311" s="69">
        <v>2950.82</v>
      </c>
      <c r="J311" s="69">
        <v>2950.82</v>
      </c>
      <c r="K311" s="69">
        <v>2950.82</v>
      </c>
      <c r="L311" s="69"/>
      <c r="M311" s="69">
        <v>2950.82</v>
      </c>
      <c r="N311" s="69">
        <v>2950.82</v>
      </c>
      <c r="O311" s="69">
        <v>2950.82</v>
      </c>
    </row>
    <row r="312" spans="1:15" s="64" customFormat="1" ht="25.5">
      <c r="A312" s="67">
        <v>24</v>
      </c>
      <c r="B312" s="68" t="s">
        <v>45</v>
      </c>
      <c r="C312" s="69">
        <f t="shared" si="79"/>
        <v>15658.51</v>
      </c>
      <c r="D312" s="69">
        <f aca="true" t="shared" si="85" ref="D312:O312">SUM(D313:D313)</f>
        <v>598.42</v>
      </c>
      <c r="E312" s="69">
        <f t="shared" si="85"/>
        <v>1106.46</v>
      </c>
      <c r="F312" s="69">
        <f t="shared" si="85"/>
        <v>1774.46</v>
      </c>
      <c r="G312" s="69">
        <f t="shared" si="85"/>
        <v>1299.47</v>
      </c>
      <c r="H312" s="91">
        <f t="shared" si="85"/>
        <v>1340.42</v>
      </c>
      <c r="I312" s="91">
        <f t="shared" si="85"/>
        <v>1762.22</v>
      </c>
      <c r="J312" s="69">
        <f t="shared" si="85"/>
        <v>1136.17</v>
      </c>
      <c r="K312" s="69">
        <f t="shared" si="85"/>
        <v>1247.47</v>
      </c>
      <c r="L312" s="69">
        <f t="shared" si="85"/>
        <v>1582.5</v>
      </c>
      <c r="M312" s="69">
        <f t="shared" si="85"/>
        <v>1018.6</v>
      </c>
      <c r="N312" s="69">
        <f t="shared" si="85"/>
        <v>1098.59</v>
      </c>
      <c r="O312" s="69">
        <f t="shared" si="85"/>
        <v>1693.73</v>
      </c>
    </row>
    <row r="313" spans="1:15" ht="12.75">
      <c r="A313" s="74"/>
      <c r="B313" s="90" t="s">
        <v>48</v>
      </c>
      <c r="C313" s="11">
        <f t="shared" si="79"/>
        <v>15658.51</v>
      </c>
      <c r="D313" s="11">
        <v>598.42</v>
      </c>
      <c r="E313" s="11">
        <v>1106.46</v>
      </c>
      <c r="F313" s="11">
        <v>1774.46</v>
      </c>
      <c r="G313" s="11">
        <v>1299.47</v>
      </c>
      <c r="H313" s="11">
        <v>1340.42</v>
      </c>
      <c r="I313" s="11">
        <f>1063.22+699</f>
        <v>1762.22</v>
      </c>
      <c r="J313" s="11">
        <f>797.72+338.45</f>
        <v>1136.17</v>
      </c>
      <c r="K313" s="11">
        <v>1247.47</v>
      </c>
      <c r="L313" s="11">
        <v>1582.5</v>
      </c>
      <c r="M313" s="11">
        <v>1018.6</v>
      </c>
      <c r="N313" s="11">
        <v>1098.59</v>
      </c>
      <c r="O313" s="11">
        <v>1693.73</v>
      </c>
    </row>
    <row r="314" spans="1:15" s="64" customFormat="1" ht="12.75">
      <c r="A314" s="67">
        <v>25</v>
      </c>
      <c r="B314" s="68" t="s">
        <v>251</v>
      </c>
      <c r="C314" s="69">
        <f t="shared" si="79"/>
        <v>122501.94</v>
      </c>
      <c r="D314" s="69">
        <f>SUM(D315:D319)</f>
        <v>0</v>
      </c>
      <c r="E314" s="69">
        <f aca="true" t="shared" si="86" ref="E314:O314">SUM(E315:E319)</f>
        <v>0</v>
      </c>
      <c r="F314" s="69">
        <f t="shared" si="86"/>
        <v>0</v>
      </c>
      <c r="G314" s="69">
        <f t="shared" si="86"/>
        <v>4300</v>
      </c>
      <c r="H314" s="69">
        <f t="shared" si="86"/>
        <v>0</v>
      </c>
      <c r="I314" s="69">
        <f t="shared" si="86"/>
        <v>4300</v>
      </c>
      <c r="J314" s="69">
        <f t="shared" si="86"/>
        <v>35000</v>
      </c>
      <c r="K314" s="69">
        <f t="shared" si="86"/>
        <v>0</v>
      </c>
      <c r="L314" s="69">
        <f t="shared" si="86"/>
        <v>0</v>
      </c>
      <c r="M314" s="69">
        <f t="shared" si="86"/>
        <v>50272.25</v>
      </c>
      <c r="N314" s="69">
        <f t="shared" si="86"/>
        <v>26429.69</v>
      </c>
      <c r="O314" s="69">
        <f t="shared" si="86"/>
        <v>2200</v>
      </c>
    </row>
    <row r="315" spans="1:15" ht="25.5">
      <c r="A315" s="74"/>
      <c r="B315" s="90" t="s">
        <v>365</v>
      </c>
      <c r="C315" s="11">
        <f t="shared" si="79"/>
        <v>8600</v>
      </c>
      <c r="D315" s="11"/>
      <c r="E315" s="11"/>
      <c r="F315" s="11"/>
      <c r="G315" s="11">
        <v>4300</v>
      </c>
      <c r="H315" s="11"/>
      <c r="I315" s="11">
        <v>4300</v>
      </c>
      <c r="J315" s="11"/>
      <c r="K315" s="11"/>
      <c r="L315" s="11"/>
      <c r="M315" s="11"/>
      <c r="N315" s="11"/>
      <c r="O315" s="128"/>
    </row>
    <row r="316" spans="1:15" ht="12.75">
      <c r="A316" s="74"/>
      <c r="B316" s="90" t="s">
        <v>366</v>
      </c>
      <c r="C316" s="11">
        <f t="shared" si="79"/>
        <v>6000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>
        <v>6000</v>
      </c>
      <c r="O316" s="128"/>
    </row>
    <row r="317" spans="1:15" ht="63.75">
      <c r="A317" s="74"/>
      <c r="B317" s="90" t="s">
        <v>363</v>
      </c>
      <c r="C317" s="11">
        <f t="shared" si="79"/>
        <v>33229.69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>
        <v>15000</v>
      </c>
      <c r="N317" s="11">
        <v>18229.69</v>
      </c>
      <c r="O317" s="128"/>
    </row>
    <row r="318" spans="1:15" ht="51">
      <c r="A318" s="74"/>
      <c r="B318" s="90" t="s">
        <v>358</v>
      </c>
      <c r="C318" s="11">
        <f t="shared" si="79"/>
        <v>4400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2">
        <v>2200</v>
      </c>
      <c r="O318" s="11">
        <v>2200</v>
      </c>
    </row>
    <row r="319" spans="1:15" ht="89.25">
      <c r="A319" s="74"/>
      <c r="B319" s="90" t="s">
        <v>320</v>
      </c>
      <c r="C319" s="11">
        <f t="shared" si="79"/>
        <v>70272.25</v>
      </c>
      <c r="D319" s="11"/>
      <c r="E319" s="11"/>
      <c r="F319" s="11"/>
      <c r="G319" s="11"/>
      <c r="H319" s="11"/>
      <c r="I319" s="11"/>
      <c r="J319" s="11">
        <v>35000</v>
      </c>
      <c r="K319" s="11"/>
      <c r="L319" s="12"/>
      <c r="M319" s="11">
        <v>35272.25</v>
      </c>
      <c r="N319" s="12"/>
      <c r="O319" s="11"/>
    </row>
    <row r="320" spans="1:15" s="64" customFormat="1" ht="38.25">
      <c r="A320" s="67">
        <v>26</v>
      </c>
      <c r="B320" s="68" t="s">
        <v>46</v>
      </c>
      <c r="C320" s="69">
        <f t="shared" si="79"/>
        <v>1000</v>
      </c>
      <c r="D320" s="69"/>
      <c r="E320" s="69">
        <v>200</v>
      </c>
      <c r="F320" s="69">
        <v>100</v>
      </c>
      <c r="G320" s="69">
        <v>100</v>
      </c>
      <c r="H320" s="69">
        <v>100</v>
      </c>
      <c r="I320" s="69">
        <v>200</v>
      </c>
      <c r="J320" s="69">
        <v>100</v>
      </c>
      <c r="K320" s="69">
        <v>100</v>
      </c>
      <c r="L320" s="69"/>
      <c r="M320" s="69">
        <v>100</v>
      </c>
      <c r="N320" s="69"/>
      <c r="O320" s="69"/>
    </row>
    <row r="321" spans="1:15" s="64" customFormat="1" ht="38.25">
      <c r="A321" s="67">
        <v>27</v>
      </c>
      <c r="B321" s="68" t="s">
        <v>43</v>
      </c>
      <c r="C321" s="69">
        <f t="shared" si="79"/>
        <v>6901.18</v>
      </c>
      <c r="D321" s="69"/>
      <c r="E321" s="69"/>
      <c r="F321" s="69">
        <v>1882.14</v>
      </c>
      <c r="G321" s="69"/>
      <c r="H321" s="69">
        <v>627.38</v>
      </c>
      <c r="I321" s="69">
        <v>627.38</v>
      </c>
      <c r="J321" s="69">
        <v>627.38</v>
      </c>
      <c r="K321" s="69">
        <v>627.38</v>
      </c>
      <c r="L321" s="69">
        <v>627.38</v>
      </c>
      <c r="M321" s="69">
        <v>627.38</v>
      </c>
      <c r="N321" s="69">
        <v>627.38</v>
      </c>
      <c r="O321" s="69">
        <v>627.38</v>
      </c>
    </row>
    <row r="322" spans="1:15" s="64" customFormat="1" ht="51">
      <c r="A322" s="67">
        <v>28</v>
      </c>
      <c r="B322" s="68" t="s">
        <v>258</v>
      </c>
      <c r="C322" s="69">
        <f aca="true" t="shared" si="87" ref="C322:C352">SUM(D322:O322)</f>
        <v>8316</v>
      </c>
      <c r="D322" s="69"/>
      <c r="E322" s="69"/>
      <c r="F322" s="69"/>
      <c r="G322" s="69"/>
      <c r="H322" s="69">
        <v>8316</v>
      </c>
      <c r="I322" s="69"/>
      <c r="J322" s="69"/>
      <c r="K322" s="69"/>
      <c r="L322" s="69"/>
      <c r="M322" s="69"/>
      <c r="N322" s="69"/>
      <c r="O322" s="69"/>
    </row>
    <row r="323" spans="1:15" s="64" customFormat="1" ht="25.5">
      <c r="A323" s="67">
        <v>29</v>
      </c>
      <c r="B323" s="68" t="s">
        <v>266</v>
      </c>
      <c r="C323" s="69">
        <f t="shared" si="87"/>
        <v>9600</v>
      </c>
      <c r="D323" s="69"/>
      <c r="E323" s="69"/>
      <c r="F323" s="69"/>
      <c r="G323" s="69"/>
      <c r="H323" s="69"/>
      <c r="I323" s="69">
        <v>9600</v>
      </c>
      <c r="J323" s="69"/>
      <c r="K323" s="69"/>
      <c r="L323" s="69"/>
      <c r="M323" s="69"/>
      <c r="N323" s="69"/>
      <c r="O323" s="69"/>
    </row>
    <row r="324" spans="1:15" s="64" customFormat="1" ht="25.5">
      <c r="A324" s="67">
        <v>30</v>
      </c>
      <c r="B324" s="68" t="s">
        <v>44</v>
      </c>
      <c r="C324" s="69">
        <f t="shared" si="87"/>
        <v>0</v>
      </c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</row>
    <row r="325" spans="1:15" s="64" customFormat="1" ht="25.5">
      <c r="A325" s="67">
        <v>31</v>
      </c>
      <c r="B325" s="68" t="s">
        <v>47</v>
      </c>
      <c r="C325" s="69">
        <f t="shared" si="87"/>
        <v>12685</v>
      </c>
      <c r="D325" s="69">
        <f>SUM(D326:D328)</f>
        <v>2800</v>
      </c>
      <c r="E325" s="69">
        <f aca="true" t="shared" si="88" ref="E325:O325">SUM(E326:E328)</f>
        <v>0</v>
      </c>
      <c r="F325" s="69">
        <f t="shared" si="88"/>
        <v>0</v>
      </c>
      <c r="G325" s="69">
        <f t="shared" si="88"/>
        <v>1955</v>
      </c>
      <c r="H325" s="69">
        <f t="shared" si="88"/>
        <v>0</v>
      </c>
      <c r="I325" s="69">
        <f t="shared" si="88"/>
        <v>0</v>
      </c>
      <c r="J325" s="69">
        <f t="shared" si="88"/>
        <v>0</v>
      </c>
      <c r="K325" s="69">
        <f t="shared" si="88"/>
        <v>0</v>
      </c>
      <c r="L325" s="69">
        <f t="shared" si="88"/>
        <v>4930</v>
      </c>
      <c r="M325" s="69">
        <f t="shared" si="88"/>
        <v>0</v>
      </c>
      <c r="N325" s="69">
        <f t="shared" si="88"/>
        <v>0</v>
      </c>
      <c r="O325" s="69">
        <f t="shared" si="88"/>
        <v>3000</v>
      </c>
    </row>
    <row r="326" spans="1:15" ht="25.5">
      <c r="A326" s="74"/>
      <c r="B326" s="90" t="s">
        <v>321</v>
      </c>
      <c r="C326" s="11">
        <f t="shared" si="87"/>
        <v>4930</v>
      </c>
      <c r="D326" s="11"/>
      <c r="E326" s="11"/>
      <c r="F326" s="11"/>
      <c r="G326" s="11"/>
      <c r="H326" s="11"/>
      <c r="I326" s="11"/>
      <c r="J326" s="11"/>
      <c r="K326" s="11"/>
      <c r="L326" s="11">
        <v>4930</v>
      </c>
      <c r="M326" s="11"/>
      <c r="N326" s="11"/>
      <c r="O326" s="11"/>
    </row>
    <row r="327" spans="1:15" ht="25.5">
      <c r="A327" s="74"/>
      <c r="B327" s="90" t="s">
        <v>49</v>
      </c>
      <c r="C327" s="11">
        <f t="shared" si="87"/>
        <v>5800</v>
      </c>
      <c r="D327" s="11">
        <v>2800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>
        <v>3000</v>
      </c>
    </row>
    <row r="328" spans="1:15" ht="25.5">
      <c r="A328" s="74"/>
      <c r="B328" s="90" t="s">
        <v>50</v>
      </c>
      <c r="C328" s="11">
        <f t="shared" si="87"/>
        <v>1955</v>
      </c>
      <c r="D328" s="11"/>
      <c r="E328" s="11"/>
      <c r="F328" s="11"/>
      <c r="G328" s="11">
        <v>1955</v>
      </c>
      <c r="H328" s="11"/>
      <c r="I328" s="11"/>
      <c r="J328" s="11"/>
      <c r="K328" s="11"/>
      <c r="L328" s="11"/>
      <c r="M328" s="11"/>
      <c r="N328" s="11"/>
      <c r="O328" s="11"/>
    </row>
    <row r="329" spans="1:15" s="64" customFormat="1" ht="38.25">
      <c r="A329" s="67">
        <v>32</v>
      </c>
      <c r="B329" s="68" t="s">
        <v>323</v>
      </c>
      <c r="C329" s="69">
        <f t="shared" si="87"/>
        <v>1724.28</v>
      </c>
      <c r="D329" s="69"/>
      <c r="E329" s="69"/>
      <c r="F329" s="69"/>
      <c r="G329" s="69"/>
      <c r="H329" s="69"/>
      <c r="I329" s="69"/>
      <c r="J329" s="69"/>
      <c r="K329" s="69"/>
      <c r="L329" s="69">
        <v>1724.28</v>
      </c>
      <c r="M329" s="69"/>
      <c r="N329" s="69"/>
      <c r="O329" s="69"/>
    </row>
    <row r="330" spans="1:15" s="64" customFormat="1" ht="25.5">
      <c r="A330" s="67">
        <v>33</v>
      </c>
      <c r="B330" s="68" t="s">
        <v>317</v>
      </c>
      <c r="C330" s="69">
        <f t="shared" si="87"/>
        <v>726</v>
      </c>
      <c r="D330" s="69"/>
      <c r="E330" s="69"/>
      <c r="F330" s="69"/>
      <c r="G330" s="69"/>
      <c r="H330" s="69"/>
      <c r="I330" s="69"/>
      <c r="J330" s="69"/>
      <c r="K330" s="69">
        <v>726</v>
      </c>
      <c r="L330" s="69"/>
      <c r="M330" s="69"/>
      <c r="N330" s="69"/>
      <c r="O330" s="69"/>
    </row>
    <row r="331" spans="1:15" s="64" customFormat="1" ht="12.75">
      <c r="A331" s="67">
        <v>34</v>
      </c>
      <c r="B331" s="68" t="s">
        <v>252</v>
      </c>
      <c r="C331" s="69">
        <f t="shared" si="87"/>
        <v>4291.92</v>
      </c>
      <c r="D331" s="69"/>
      <c r="E331" s="69"/>
      <c r="F331" s="69"/>
      <c r="G331" s="69">
        <v>200</v>
      </c>
      <c r="H331" s="69"/>
      <c r="I331" s="69">
        <v>531.95</v>
      </c>
      <c r="J331" s="69">
        <v>567.2</v>
      </c>
      <c r="K331" s="69">
        <v>569.13</v>
      </c>
      <c r="L331" s="69">
        <v>498.21</v>
      </c>
      <c r="M331" s="69">
        <v>669.35</v>
      </c>
      <c r="N331" s="69">
        <v>633.53</v>
      </c>
      <c r="O331" s="69">
        <v>622.55</v>
      </c>
    </row>
    <row r="332" spans="1:15" s="64" customFormat="1" ht="25.5">
      <c r="A332" s="67">
        <v>35</v>
      </c>
      <c r="B332" s="68" t="s">
        <v>51</v>
      </c>
      <c r="C332" s="69">
        <f t="shared" si="87"/>
        <v>1673.28</v>
      </c>
      <c r="D332" s="69"/>
      <c r="E332" s="69">
        <v>1673.28</v>
      </c>
      <c r="F332" s="69"/>
      <c r="G332" s="69"/>
      <c r="H332" s="69"/>
      <c r="I332" s="69"/>
      <c r="J332" s="69"/>
      <c r="K332" s="69"/>
      <c r="L332" s="69"/>
      <c r="M332" s="69"/>
      <c r="N332" s="69"/>
      <c r="O332" s="69"/>
    </row>
    <row r="333" spans="1:15" s="64" customFormat="1" ht="12.75">
      <c r="A333" s="67">
        <v>36</v>
      </c>
      <c r="B333" s="68" t="s">
        <v>249</v>
      </c>
      <c r="C333" s="69">
        <f t="shared" si="87"/>
        <v>6977</v>
      </c>
      <c r="D333" s="69">
        <f>SUM(D334:D335)</f>
        <v>0</v>
      </c>
      <c r="E333" s="69">
        <f aca="true" t="shared" si="89" ref="E333:O333">SUM(E334:E335)</f>
        <v>0</v>
      </c>
      <c r="F333" s="69">
        <f t="shared" si="89"/>
        <v>0</v>
      </c>
      <c r="G333" s="69">
        <f t="shared" si="89"/>
        <v>3604</v>
      </c>
      <c r="H333" s="69">
        <f t="shared" si="89"/>
        <v>0</v>
      </c>
      <c r="I333" s="69">
        <f t="shared" si="89"/>
        <v>3373</v>
      </c>
      <c r="J333" s="69">
        <f t="shared" si="89"/>
        <v>0</v>
      </c>
      <c r="K333" s="69">
        <f t="shared" si="89"/>
        <v>0</v>
      </c>
      <c r="L333" s="69">
        <f t="shared" si="89"/>
        <v>0</v>
      </c>
      <c r="M333" s="69">
        <f t="shared" si="89"/>
        <v>0</v>
      </c>
      <c r="N333" s="69">
        <f t="shared" si="89"/>
        <v>0</v>
      </c>
      <c r="O333" s="69">
        <f t="shared" si="89"/>
        <v>0</v>
      </c>
    </row>
    <row r="334" spans="1:15" ht="12.75">
      <c r="A334" s="74"/>
      <c r="B334" s="90" t="s">
        <v>264</v>
      </c>
      <c r="C334" s="11">
        <f t="shared" si="87"/>
        <v>3604</v>
      </c>
      <c r="D334" s="11"/>
      <c r="E334" s="11"/>
      <c r="F334" s="11"/>
      <c r="G334" s="11">
        <v>3604</v>
      </c>
      <c r="H334" s="11"/>
      <c r="I334" s="11"/>
      <c r="J334" s="11"/>
      <c r="K334" s="11"/>
      <c r="L334" s="11"/>
      <c r="M334" s="11"/>
      <c r="N334" s="11"/>
      <c r="O334" s="11"/>
    </row>
    <row r="335" spans="1:15" ht="25.5">
      <c r="A335" s="74"/>
      <c r="B335" s="90" t="s">
        <v>265</v>
      </c>
      <c r="C335" s="11">
        <f t="shared" si="87"/>
        <v>3373</v>
      </c>
      <c r="D335" s="11"/>
      <c r="E335" s="11"/>
      <c r="F335" s="11"/>
      <c r="G335" s="11"/>
      <c r="H335" s="11"/>
      <c r="I335" s="11">
        <v>3373</v>
      </c>
      <c r="J335" s="11"/>
      <c r="K335" s="11"/>
      <c r="L335" s="11"/>
      <c r="M335" s="11"/>
      <c r="N335" s="11"/>
      <c r="O335" s="11"/>
    </row>
    <row r="336" spans="1:15" s="64" customFormat="1" ht="25.5">
      <c r="A336" s="67">
        <v>37</v>
      </c>
      <c r="B336" s="68" t="s">
        <v>268</v>
      </c>
      <c r="C336" s="69">
        <f t="shared" si="87"/>
        <v>5682.12</v>
      </c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>
        <v>5682.12</v>
      </c>
    </row>
    <row r="337" spans="1:15" s="64" customFormat="1" ht="25.5">
      <c r="A337" s="67">
        <v>38</v>
      </c>
      <c r="B337" s="68" t="s">
        <v>257</v>
      </c>
      <c r="C337" s="69">
        <f t="shared" si="87"/>
        <v>3490</v>
      </c>
      <c r="D337" s="69"/>
      <c r="E337" s="69"/>
      <c r="F337" s="69"/>
      <c r="G337" s="69">
        <v>3490</v>
      </c>
      <c r="H337" s="69"/>
      <c r="I337" s="69"/>
      <c r="J337" s="69"/>
      <c r="K337" s="69"/>
      <c r="L337" s="69"/>
      <c r="M337" s="69"/>
      <c r="N337" s="69"/>
      <c r="O337" s="69"/>
    </row>
    <row r="338" spans="1:15" s="64" customFormat="1" ht="25.5">
      <c r="A338" s="67">
        <v>39</v>
      </c>
      <c r="B338" s="68" t="s">
        <v>52</v>
      </c>
      <c r="C338" s="69">
        <f t="shared" si="87"/>
        <v>49795.21</v>
      </c>
      <c r="D338" s="69">
        <f>SUM(D339:D340)</f>
        <v>0</v>
      </c>
      <c r="E338" s="69">
        <f aca="true" t="shared" si="90" ref="E338:O338">SUM(E339:E340)</f>
        <v>3109</v>
      </c>
      <c r="F338" s="69">
        <f t="shared" si="90"/>
        <v>0</v>
      </c>
      <c r="G338" s="69">
        <f t="shared" si="90"/>
        <v>22711</v>
      </c>
      <c r="H338" s="69">
        <f t="shared" si="90"/>
        <v>14930.61</v>
      </c>
      <c r="I338" s="69">
        <f t="shared" si="90"/>
        <v>0</v>
      </c>
      <c r="J338" s="69">
        <f t="shared" si="90"/>
        <v>0</v>
      </c>
      <c r="K338" s="69">
        <f t="shared" si="90"/>
        <v>9044.6</v>
      </c>
      <c r="L338" s="69">
        <f t="shared" si="90"/>
        <v>0</v>
      </c>
      <c r="M338" s="69">
        <f t="shared" si="90"/>
        <v>0</v>
      </c>
      <c r="N338" s="69">
        <f t="shared" si="90"/>
        <v>0</v>
      </c>
      <c r="O338" s="69">
        <f t="shared" si="90"/>
        <v>0</v>
      </c>
    </row>
    <row r="339" spans="1:15" ht="12.75">
      <c r="A339" s="74"/>
      <c r="B339" s="90" t="s">
        <v>66</v>
      </c>
      <c r="C339" s="11">
        <f t="shared" si="87"/>
        <v>35998.21</v>
      </c>
      <c r="D339" s="11"/>
      <c r="E339" s="11">
        <v>3109</v>
      </c>
      <c r="F339" s="11"/>
      <c r="G339" s="11">
        <v>8914</v>
      </c>
      <c r="H339" s="11">
        <f>11878.51+863.9+1736.6+451.6</f>
        <v>14930.61</v>
      </c>
      <c r="I339" s="11"/>
      <c r="J339" s="11"/>
      <c r="K339" s="11">
        <v>9044.6</v>
      </c>
      <c r="L339" s="11"/>
      <c r="M339" s="11"/>
      <c r="N339" s="11"/>
      <c r="O339" s="11"/>
    </row>
    <row r="340" spans="1:15" ht="12.75">
      <c r="A340" s="74"/>
      <c r="B340" s="90" t="s">
        <v>250</v>
      </c>
      <c r="C340" s="11">
        <f t="shared" si="87"/>
        <v>13797</v>
      </c>
      <c r="D340" s="11"/>
      <c r="E340" s="11"/>
      <c r="F340" s="11"/>
      <c r="G340" s="11">
        <v>13797</v>
      </c>
      <c r="H340" s="11"/>
      <c r="I340" s="11"/>
      <c r="J340" s="11"/>
      <c r="K340" s="11"/>
      <c r="L340" s="11"/>
      <c r="M340" s="11"/>
      <c r="N340" s="11"/>
      <c r="O340" s="11"/>
    </row>
    <row r="341" spans="1:15" s="64" customFormat="1" ht="12.75">
      <c r="A341" s="67">
        <v>40</v>
      </c>
      <c r="B341" s="68" t="s">
        <v>331</v>
      </c>
      <c r="C341" s="69">
        <f t="shared" si="87"/>
        <v>10346</v>
      </c>
      <c r="D341" s="69"/>
      <c r="E341" s="69"/>
      <c r="F341" s="69"/>
      <c r="G341" s="69">
        <v>10346</v>
      </c>
      <c r="H341" s="69"/>
      <c r="I341" s="69"/>
      <c r="J341" s="69"/>
      <c r="K341" s="69"/>
      <c r="L341" s="69"/>
      <c r="M341" s="69"/>
      <c r="N341" s="69"/>
      <c r="O341" s="69"/>
    </row>
    <row r="342" spans="1:15" s="64" customFormat="1" ht="25.5">
      <c r="A342" s="67">
        <v>41</v>
      </c>
      <c r="B342" s="68" t="s">
        <v>247</v>
      </c>
      <c r="C342" s="69">
        <f t="shared" si="87"/>
        <v>30450</v>
      </c>
      <c r="D342" s="69"/>
      <c r="E342" s="69"/>
      <c r="F342" s="69">
        <v>12600</v>
      </c>
      <c r="G342" s="69"/>
      <c r="H342" s="69"/>
      <c r="I342" s="69"/>
      <c r="J342" s="69"/>
      <c r="K342" s="69"/>
      <c r="L342" s="69"/>
      <c r="M342" s="69"/>
      <c r="N342" s="69"/>
      <c r="O342" s="69">
        <v>17850</v>
      </c>
    </row>
    <row r="343" spans="1:15" s="64" customFormat="1" ht="25.5">
      <c r="A343" s="67">
        <v>42</v>
      </c>
      <c r="B343" s="68" t="s">
        <v>248</v>
      </c>
      <c r="C343" s="69">
        <f t="shared" si="87"/>
        <v>11000</v>
      </c>
      <c r="D343" s="69"/>
      <c r="E343" s="69"/>
      <c r="F343" s="69">
        <v>11000</v>
      </c>
      <c r="G343" s="69"/>
      <c r="H343" s="69"/>
      <c r="I343" s="69"/>
      <c r="J343" s="69"/>
      <c r="K343" s="69"/>
      <c r="L343" s="69"/>
      <c r="M343" s="69"/>
      <c r="N343" s="69"/>
      <c r="O343" s="69"/>
    </row>
    <row r="344" spans="1:15" s="64" customFormat="1" ht="25.5">
      <c r="A344" s="67">
        <v>43</v>
      </c>
      <c r="B344" s="68" t="s">
        <v>54</v>
      </c>
      <c r="C344" s="69">
        <f t="shared" si="87"/>
        <v>36111.34</v>
      </c>
      <c r="D344" s="88"/>
      <c r="E344" s="88"/>
      <c r="F344" s="88">
        <f>10911.34+25200</f>
        <v>36111.34</v>
      </c>
      <c r="G344" s="69"/>
      <c r="H344" s="69"/>
      <c r="I344" s="88"/>
      <c r="J344" s="88"/>
      <c r="K344" s="88"/>
      <c r="L344" s="88"/>
      <c r="M344" s="88"/>
      <c r="N344" s="88"/>
      <c r="O344" s="88"/>
    </row>
    <row r="345" spans="1:15" s="64" customFormat="1" ht="12.75">
      <c r="A345" s="67">
        <v>44</v>
      </c>
      <c r="B345" s="68" t="s">
        <v>318</v>
      </c>
      <c r="C345" s="69">
        <f t="shared" si="87"/>
        <v>30700</v>
      </c>
      <c r="D345" s="88">
        <f aca="true" t="shared" si="91" ref="D345:O345">D346+D347</f>
        <v>0</v>
      </c>
      <c r="E345" s="88">
        <f t="shared" si="91"/>
        <v>0</v>
      </c>
      <c r="F345" s="88">
        <f t="shared" si="91"/>
        <v>0</v>
      </c>
      <c r="G345" s="69">
        <f t="shared" si="91"/>
        <v>0</v>
      </c>
      <c r="H345" s="69">
        <f t="shared" si="91"/>
        <v>0</v>
      </c>
      <c r="I345" s="69">
        <f t="shared" si="91"/>
        <v>0</v>
      </c>
      <c r="J345" s="69">
        <f t="shared" si="91"/>
        <v>0</v>
      </c>
      <c r="K345" s="69">
        <f t="shared" si="91"/>
        <v>15700</v>
      </c>
      <c r="L345" s="69">
        <f t="shared" si="91"/>
        <v>15000</v>
      </c>
      <c r="M345" s="69">
        <f t="shared" si="91"/>
        <v>0</v>
      </c>
      <c r="N345" s="69">
        <f t="shared" si="91"/>
        <v>0</v>
      </c>
      <c r="O345" s="69">
        <f t="shared" si="91"/>
        <v>0</v>
      </c>
    </row>
    <row r="346" spans="1:15" ht="12.75">
      <c r="A346" s="74"/>
      <c r="B346" s="90" t="s">
        <v>66</v>
      </c>
      <c r="C346" s="11">
        <f t="shared" si="87"/>
        <v>15700</v>
      </c>
      <c r="D346" s="87"/>
      <c r="E346" s="11"/>
      <c r="F346" s="11"/>
      <c r="G346" s="11"/>
      <c r="H346" s="11"/>
      <c r="I346" s="11"/>
      <c r="J346" s="11"/>
      <c r="K346" s="11">
        <v>15700</v>
      </c>
      <c r="L346" s="11"/>
      <c r="M346" s="11"/>
      <c r="N346" s="11"/>
      <c r="O346" s="11"/>
    </row>
    <row r="347" spans="1:16" ht="12.75">
      <c r="A347" s="74"/>
      <c r="B347" s="90" t="s">
        <v>319</v>
      </c>
      <c r="C347" s="11">
        <f t="shared" si="87"/>
        <v>15000</v>
      </c>
      <c r="D347" s="87"/>
      <c r="E347" s="87"/>
      <c r="F347" s="87"/>
      <c r="G347" s="11"/>
      <c r="H347" s="11"/>
      <c r="I347" s="11"/>
      <c r="J347" s="11"/>
      <c r="K347" s="11"/>
      <c r="L347" s="11">
        <v>15000</v>
      </c>
      <c r="M347" s="11"/>
      <c r="N347" s="11"/>
      <c r="O347" s="11"/>
      <c r="P347" s="10"/>
    </row>
    <row r="348" spans="1:15" s="64" customFormat="1" ht="25.5">
      <c r="A348" s="67">
        <v>45</v>
      </c>
      <c r="B348" s="68" t="s">
        <v>255</v>
      </c>
      <c r="C348" s="69">
        <f t="shared" si="87"/>
        <v>3660</v>
      </c>
      <c r="D348" s="88"/>
      <c r="E348" s="88"/>
      <c r="F348" s="88"/>
      <c r="G348" s="88"/>
      <c r="H348" s="88">
        <f>905+1615+1140</f>
        <v>3660</v>
      </c>
      <c r="I348" s="88"/>
      <c r="J348" s="69"/>
      <c r="K348" s="88"/>
      <c r="L348" s="88"/>
      <c r="M348" s="88"/>
      <c r="N348" s="88"/>
      <c r="O348" s="88"/>
    </row>
    <row r="349" spans="1:15" s="64" customFormat="1" ht="15">
      <c r="A349" s="67">
        <v>46</v>
      </c>
      <c r="B349" s="68" t="s">
        <v>256</v>
      </c>
      <c r="C349" s="69">
        <f t="shared" si="87"/>
        <v>3332.8599999999997</v>
      </c>
      <c r="D349" s="88"/>
      <c r="E349" s="88"/>
      <c r="F349" s="88"/>
      <c r="G349" s="69"/>
      <c r="H349" s="69">
        <v>1684.26</v>
      </c>
      <c r="I349" s="69"/>
      <c r="J349" s="69"/>
      <c r="K349" s="69"/>
      <c r="L349" s="120"/>
      <c r="M349" s="69">
        <v>1648.6</v>
      </c>
      <c r="N349" s="69"/>
      <c r="O349" s="88"/>
    </row>
    <row r="350" spans="1:15" s="64" customFormat="1" ht="12.75">
      <c r="A350" s="67">
        <v>47</v>
      </c>
      <c r="B350" s="68" t="s">
        <v>267</v>
      </c>
      <c r="C350" s="69">
        <f t="shared" si="87"/>
        <v>10740</v>
      </c>
      <c r="D350" s="88"/>
      <c r="E350" s="88"/>
      <c r="F350" s="88"/>
      <c r="G350" s="69"/>
      <c r="H350" s="69"/>
      <c r="I350" s="69">
        <v>10740</v>
      </c>
      <c r="J350" s="69"/>
      <c r="K350" s="69"/>
      <c r="L350" s="69"/>
      <c r="M350" s="69"/>
      <c r="N350" s="69"/>
      <c r="O350" s="88"/>
    </row>
    <row r="351" spans="1:15" s="64" customFormat="1" ht="12.75">
      <c r="A351" s="67">
        <v>48</v>
      </c>
      <c r="B351" s="68" t="s">
        <v>325</v>
      </c>
      <c r="C351" s="69">
        <f t="shared" si="87"/>
        <v>32756.8</v>
      </c>
      <c r="D351" s="88">
        <f aca="true" t="shared" si="92" ref="D351:O351">D352+D353</f>
        <v>0</v>
      </c>
      <c r="E351" s="88">
        <f t="shared" si="92"/>
        <v>0</v>
      </c>
      <c r="F351" s="88">
        <f t="shared" si="92"/>
        <v>0</v>
      </c>
      <c r="G351" s="69">
        <f t="shared" si="92"/>
        <v>0</v>
      </c>
      <c r="H351" s="69">
        <f t="shared" si="92"/>
        <v>0</v>
      </c>
      <c r="I351" s="69">
        <f t="shared" si="92"/>
        <v>0</v>
      </c>
      <c r="J351" s="69">
        <f t="shared" si="92"/>
        <v>32461.8</v>
      </c>
      <c r="K351" s="69">
        <f t="shared" si="92"/>
        <v>0</v>
      </c>
      <c r="L351" s="69">
        <f t="shared" si="92"/>
        <v>0</v>
      </c>
      <c r="M351" s="69">
        <f t="shared" si="92"/>
        <v>0</v>
      </c>
      <c r="N351" s="69">
        <f t="shared" si="92"/>
        <v>295</v>
      </c>
      <c r="O351" s="88">
        <f t="shared" si="92"/>
        <v>0</v>
      </c>
    </row>
    <row r="352" spans="1:15" ht="12.75">
      <c r="A352" s="74"/>
      <c r="B352" s="90" t="s">
        <v>359</v>
      </c>
      <c r="C352" s="11">
        <f t="shared" si="87"/>
        <v>32461.8</v>
      </c>
      <c r="D352" s="87"/>
      <c r="E352" s="87"/>
      <c r="F352" s="87"/>
      <c r="G352" s="11"/>
      <c r="H352" s="11"/>
      <c r="I352" s="11"/>
      <c r="J352" s="11">
        <v>32461.8</v>
      </c>
      <c r="K352" s="11"/>
      <c r="L352" s="11"/>
      <c r="M352" s="11"/>
      <c r="N352" s="11"/>
      <c r="O352" s="87"/>
    </row>
    <row r="353" spans="1:15" ht="12.75">
      <c r="A353" s="74"/>
      <c r="B353" s="90" t="s">
        <v>324</v>
      </c>
      <c r="C353" s="11">
        <f aca="true" t="shared" si="93" ref="C353:C367">SUM(D353:O353)</f>
        <v>295</v>
      </c>
      <c r="D353" s="87"/>
      <c r="E353" s="87"/>
      <c r="F353" s="87"/>
      <c r="G353" s="11"/>
      <c r="H353" s="11"/>
      <c r="I353" s="11"/>
      <c r="J353" s="11"/>
      <c r="K353" s="11"/>
      <c r="L353" s="11"/>
      <c r="M353" s="11"/>
      <c r="N353" s="11">
        <v>295</v>
      </c>
      <c r="O353" s="87"/>
    </row>
    <row r="354" spans="1:15" s="64" customFormat="1" ht="25.5">
      <c r="A354" s="67">
        <v>49</v>
      </c>
      <c r="B354" s="68" t="s">
        <v>53</v>
      </c>
      <c r="C354" s="69">
        <f t="shared" si="93"/>
        <v>6000</v>
      </c>
      <c r="D354" s="88"/>
      <c r="E354" s="88"/>
      <c r="F354" s="88"/>
      <c r="G354" s="69"/>
      <c r="H354" s="69"/>
      <c r="I354" s="69"/>
      <c r="J354" s="69"/>
      <c r="K354" s="69"/>
      <c r="L354" s="69"/>
      <c r="M354" s="69">
        <v>6000</v>
      </c>
      <c r="N354" s="69"/>
      <c r="O354" s="88"/>
    </row>
    <row r="355" spans="1:15" s="64" customFormat="1" ht="12.75">
      <c r="A355" s="67">
        <v>50</v>
      </c>
      <c r="B355" s="68" t="s">
        <v>326</v>
      </c>
      <c r="C355" s="69">
        <f t="shared" si="93"/>
        <v>3800</v>
      </c>
      <c r="D355" s="88">
        <f>SUM(D356:D357)</f>
        <v>0</v>
      </c>
      <c r="E355" s="88">
        <f aca="true" t="shared" si="94" ref="E355:O355">SUM(E356:E357)</f>
        <v>0</v>
      </c>
      <c r="F355" s="88">
        <f t="shared" si="94"/>
        <v>0</v>
      </c>
      <c r="G355" s="69">
        <f t="shared" si="94"/>
        <v>0</v>
      </c>
      <c r="H355" s="69">
        <f t="shared" si="94"/>
        <v>0</v>
      </c>
      <c r="I355" s="69">
        <f t="shared" si="94"/>
        <v>0</v>
      </c>
      <c r="J355" s="69">
        <f t="shared" si="94"/>
        <v>0</v>
      </c>
      <c r="K355" s="69">
        <f t="shared" si="94"/>
        <v>0</v>
      </c>
      <c r="L355" s="69">
        <f t="shared" si="94"/>
        <v>0</v>
      </c>
      <c r="M355" s="69">
        <f t="shared" si="94"/>
        <v>0</v>
      </c>
      <c r="N355" s="69">
        <f t="shared" si="94"/>
        <v>3800</v>
      </c>
      <c r="O355" s="88">
        <f t="shared" si="94"/>
        <v>0</v>
      </c>
    </row>
    <row r="356" spans="1:15" ht="51">
      <c r="A356" s="74"/>
      <c r="B356" s="90" t="s">
        <v>327</v>
      </c>
      <c r="C356" s="11">
        <f t="shared" si="93"/>
        <v>2000</v>
      </c>
      <c r="D356" s="87"/>
      <c r="E356" s="87"/>
      <c r="F356" s="87"/>
      <c r="G356" s="11"/>
      <c r="H356" s="11"/>
      <c r="I356" s="11"/>
      <c r="J356" s="11"/>
      <c r="K356" s="11"/>
      <c r="L356" s="11"/>
      <c r="M356" s="11"/>
      <c r="N356" s="11">
        <v>2000</v>
      </c>
      <c r="O356" s="87"/>
    </row>
    <row r="357" spans="1:15" ht="38.25">
      <c r="A357" s="74"/>
      <c r="B357" s="90" t="s">
        <v>328</v>
      </c>
      <c r="C357" s="11">
        <f t="shared" si="93"/>
        <v>1800</v>
      </c>
      <c r="D357" s="87"/>
      <c r="E357" s="87"/>
      <c r="F357" s="87"/>
      <c r="G357" s="87"/>
      <c r="H357" s="11"/>
      <c r="I357" s="11"/>
      <c r="J357" s="11"/>
      <c r="K357" s="11"/>
      <c r="L357" s="11"/>
      <c r="M357" s="11"/>
      <c r="N357" s="11">
        <v>1800</v>
      </c>
      <c r="O357" s="87"/>
    </row>
    <row r="358" spans="1:15" s="64" customFormat="1" ht="25.5">
      <c r="A358" s="67">
        <v>51</v>
      </c>
      <c r="B358" s="68" t="s">
        <v>243</v>
      </c>
      <c r="C358" s="69">
        <f t="shared" si="93"/>
        <v>44000</v>
      </c>
      <c r="D358" s="88">
        <f>17200+13300</f>
        <v>30500</v>
      </c>
      <c r="E358" s="88"/>
      <c r="F358" s="88">
        <f>6300</f>
        <v>6300</v>
      </c>
      <c r="G358" s="88">
        <v>7200</v>
      </c>
      <c r="H358" s="69"/>
      <c r="I358" s="69"/>
      <c r="J358" s="69"/>
      <c r="K358" s="69"/>
      <c r="L358" s="69"/>
      <c r="M358" s="69"/>
      <c r="N358" s="69"/>
      <c r="O358" s="88"/>
    </row>
    <row r="359" spans="1:15" s="64" customFormat="1" ht="12.75">
      <c r="A359" s="67">
        <v>52</v>
      </c>
      <c r="B359" s="68" t="s">
        <v>244</v>
      </c>
      <c r="C359" s="69">
        <f t="shared" si="93"/>
        <v>13112.12</v>
      </c>
      <c r="D359" s="88">
        <f>SUM(D360:D361)</f>
        <v>2814.54</v>
      </c>
      <c r="E359" s="88">
        <f aca="true" t="shared" si="95" ref="E359:O359">SUM(E360:E361)</f>
        <v>0</v>
      </c>
      <c r="F359" s="88">
        <f t="shared" si="95"/>
        <v>0</v>
      </c>
      <c r="G359" s="88">
        <f t="shared" si="95"/>
        <v>0</v>
      </c>
      <c r="H359" s="69">
        <f t="shared" si="95"/>
        <v>6053</v>
      </c>
      <c r="I359" s="88">
        <f t="shared" si="95"/>
        <v>4244.58</v>
      </c>
      <c r="J359" s="69">
        <f t="shared" si="95"/>
        <v>0</v>
      </c>
      <c r="K359" s="69">
        <f t="shared" si="95"/>
        <v>0</v>
      </c>
      <c r="L359" s="69">
        <f t="shared" si="95"/>
        <v>0</v>
      </c>
      <c r="M359" s="69">
        <f t="shared" si="95"/>
        <v>0</v>
      </c>
      <c r="N359" s="69">
        <f t="shared" si="95"/>
        <v>0</v>
      </c>
      <c r="O359" s="88">
        <f t="shared" si="95"/>
        <v>0</v>
      </c>
    </row>
    <row r="360" spans="1:15" ht="12.75">
      <c r="A360" s="74"/>
      <c r="B360" s="90" t="s">
        <v>65</v>
      </c>
      <c r="C360" s="11">
        <f t="shared" si="93"/>
        <v>7059.12</v>
      </c>
      <c r="D360" s="87">
        <v>2814.54</v>
      </c>
      <c r="E360" s="87"/>
      <c r="F360" s="87"/>
      <c r="G360" s="87"/>
      <c r="H360" s="11"/>
      <c r="I360" s="11">
        <v>4244.58</v>
      </c>
      <c r="J360" s="11"/>
      <c r="K360" s="11"/>
      <c r="L360" s="11"/>
      <c r="M360" s="11"/>
      <c r="N360" s="11"/>
      <c r="O360" s="87"/>
    </row>
    <row r="361" spans="1:15" ht="12.75">
      <c r="A361" s="74"/>
      <c r="B361" s="90" t="s">
        <v>262</v>
      </c>
      <c r="C361" s="11">
        <f t="shared" si="93"/>
        <v>6053</v>
      </c>
      <c r="D361" s="87"/>
      <c r="E361" s="87"/>
      <c r="F361" s="87"/>
      <c r="G361" s="87"/>
      <c r="H361" s="11">
        <v>6053</v>
      </c>
      <c r="I361" s="87"/>
      <c r="J361" s="11"/>
      <c r="K361" s="11"/>
      <c r="L361" s="11"/>
      <c r="M361" s="11"/>
      <c r="N361" s="11"/>
      <c r="O361" s="87"/>
    </row>
    <row r="362" spans="1:15" s="64" customFormat="1" ht="25.5">
      <c r="A362" s="67">
        <v>53</v>
      </c>
      <c r="B362" s="68" t="s">
        <v>245</v>
      </c>
      <c r="C362" s="69">
        <f t="shared" si="93"/>
        <v>15768</v>
      </c>
      <c r="D362" s="88"/>
      <c r="E362" s="88"/>
      <c r="F362" s="88"/>
      <c r="G362" s="88"/>
      <c r="H362" s="88"/>
      <c r="I362" s="88">
        <v>13140</v>
      </c>
      <c r="J362" s="88">
        <v>2628</v>
      </c>
      <c r="K362" s="88"/>
      <c r="L362" s="88"/>
      <c r="M362" s="88"/>
      <c r="N362" s="88"/>
      <c r="O362" s="88"/>
    </row>
    <row r="363" spans="1:15" s="64" customFormat="1" ht="12.75">
      <c r="A363" s="67">
        <v>54</v>
      </c>
      <c r="B363" s="68" t="s">
        <v>246</v>
      </c>
      <c r="C363" s="69">
        <f t="shared" si="93"/>
        <v>2000</v>
      </c>
      <c r="D363" s="88"/>
      <c r="E363" s="88"/>
      <c r="F363" s="88">
        <v>2000</v>
      </c>
      <c r="G363" s="88"/>
      <c r="H363" s="88"/>
      <c r="I363" s="88"/>
      <c r="J363" s="88"/>
      <c r="K363" s="88"/>
      <c r="L363" s="88"/>
      <c r="M363" s="88"/>
      <c r="N363" s="88"/>
      <c r="O363" s="88"/>
    </row>
    <row r="364" spans="1:15" s="64" customFormat="1" ht="25.5">
      <c r="A364" s="67">
        <v>55</v>
      </c>
      <c r="B364" s="68" t="s">
        <v>322</v>
      </c>
      <c r="C364" s="69">
        <f>SUM(D364:O364)</f>
        <v>9100</v>
      </c>
      <c r="D364" s="88"/>
      <c r="E364" s="88"/>
      <c r="F364" s="88"/>
      <c r="G364" s="88"/>
      <c r="H364" s="88"/>
      <c r="I364" s="88"/>
      <c r="J364" s="88"/>
      <c r="K364" s="88"/>
      <c r="L364" s="88">
        <v>9100</v>
      </c>
      <c r="M364" s="88"/>
      <c r="N364" s="88"/>
      <c r="O364" s="88"/>
    </row>
    <row r="365" spans="1:15" s="64" customFormat="1" ht="12.75">
      <c r="A365" s="67">
        <v>56</v>
      </c>
      <c r="B365" s="68" t="s">
        <v>353</v>
      </c>
      <c r="C365" s="69">
        <f>SUM(D365:O365)</f>
        <v>38000</v>
      </c>
      <c r="D365" s="88">
        <v>0</v>
      </c>
      <c r="E365" s="88">
        <v>0</v>
      </c>
      <c r="F365" s="88">
        <v>0</v>
      </c>
      <c r="G365" s="88">
        <v>0</v>
      </c>
      <c r="H365" s="88">
        <v>0</v>
      </c>
      <c r="I365" s="88">
        <v>0</v>
      </c>
      <c r="J365" s="88">
        <v>0</v>
      </c>
      <c r="K365" s="88">
        <v>0</v>
      </c>
      <c r="L365" s="88">
        <v>0</v>
      </c>
      <c r="M365" s="88">
        <v>0</v>
      </c>
      <c r="N365" s="88">
        <v>0</v>
      </c>
      <c r="O365" s="88">
        <v>38000</v>
      </c>
    </row>
    <row r="366" spans="1:15" s="64" customFormat="1" ht="51">
      <c r="A366" s="67">
        <v>57</v>
      </c>
      <c r="B366" s="109" t="s">
        <v>360</v>
      </c>
      <c r="C366" s="69">
        <f t="shared" si="93"/>
        <v>43959.740000000005</v>
      </c>
      <c r="D366" s="88"/>
      <c r="E366" s="88"/>
      <c r="F366" s="88"/>
      <c r="G366" s="88"/>
      <c r="H366" s="88"/>
      <c r="I366" s="88">
        <v>39758.22</v>
      </c>
      <c r="J366" s="88"/>
      <c r="K366" s="88">
        <v>1036.68</v>
      </c>
      <c r="L366" s="88">
        <f>1461.6+1703.24</f>
        <v>3164.84</v>
      </c>
      <c r="M366" s="88"/>
      <c r="N366" s="88"/>
      <c r="O366" s="88"/>
    </row>
    <row r="367" spans="1:15" s="64" customFormat="1" ht="12.75">
      <c r="A367" s="67">
        <v>58</v>
      </c>
      <c r="B367" s="68" t="s">
        <v>61</v>
      </c>
      <c r="C367" s="69">
        <f t="shared" si="93"/>
        <v>167248.44999999998</v>
      </c>
      <c r="D367" s="88">
        <f aca="true" t="shared" si="96" ref="D367:N367">SUM(D368:D388)</f>
        <v>0</v>
      </c>
      <c r="E367" s="88">
        <f t="shared" si="96"/>
        <v>19691.399999999998</v>
      </c>
      <c r="F367" s="88">
        <f t="shared" si="96"/>
        <v>15654.960000000001</v>
      </c>
      <c r="G367" s="88">
        <f t="shared" si="96"/>
        <v>23420</v>
      </c>
      <c r="H367" s="88">
        <f t="shared" si="96"/>
        <v>19218.2</v>
      </c>
      <c r="I367" s="88">
        <f t="shared" si="96"/>
        <v>16467.5</v>
      </c>
      <c r="J367" s="88">
        <f>SUM(J368:J388)</f>
        <v>7255</v>
      </c>
      <c r="K367" s="88">
        <f t="shared" si="96"/>
        <v>7402</v>
      </c>
      <c r="L367" s="88">
        <f>SUM(L368:L388)</f>
        <v>8149.4</v>
      </c>
      <c r="M367" s="88">
        <f t="shared" si="96"/>
        <v>23159.5</v>
      </c>
      <c r="N367" s="88">
        <f t="shared" si="96"/>
        <v>22104</v>
      </c>
      <c r="O367" s="88">
        <f>SUM(O368:O388)</f>
        <v>4726.49</v>
      </c>
    </row>
    <row r="368" spans="1:15" ht="12.75">
      <c r="A368" s="74"/>
      <c r="B368" s="90" t="s">
        <v>276</v>
      </c>
      <c r="C368" s="11">
        <f aca="true" t="shared" si="97" ref="C368:C388">SUM(D368:O368)</f>
        <v>2494.7699999999995</v>
      </c>
      <c r="D368" s="87"/>
      <c r="E368" s="87"/>
      <c r="F368" s="87">
        <v>1320</v>
      </c>
      <c r="G368" s="87"/>
      <c r="H368" s="87"/>
      <c r="I368" s="87"/>
      <c r="J368" s="87">
        <v>77.6</v>
      </c>
      <c r="K368" s="87">
        <v>1087.97</v>
      </c>
      <c r="L368" s="87">
        <v>9.2</v>
      </c>
      <c r="M368" s="87"/>
      <c r="N368" s="87"/>
      <c r="O368" s="87"/>
    </row>
    <row r="369" spans="1:15" ht="38.25">
      <c r="A369" s="74"/>
      <c r="B369" s="90" t="s">
        <v>334</v>
      </c>
      <c r="C369" s="11">
        <f t="shared" si="97"/>
        <v>762.1</v>
      </c>
      <c r="D369" s="87"/>
      <c r="E369" s="87"/>
      <c r="F369" s="87">
        <v>10</v>
      </c>
      <c r="G369" s="87"/>
      <c r="H369" s="87"/>
      <c r="I369" s="87"/>
      <c r="J369" s="87">
        <f>60+60</f>
        <v>120</v>
      </c>
      <c r="K369" s="87">
        <v>368</v>
      </c>
      <c r="L369" s="87"/>
      <c r="M369" s="87">
        <v>94</v>
      </c>
      <c r="N369" s="87">
        <v>100.1</v>
      </c>
      <c r="O369" s="87">
        <v>70</v>
      </c>
    </row>
    <row r="370" spans="1:15" ht="25.5">
      <c r="A370" s="74"/>
      <c r="B370" s="90" t="s">
        <v>274</v>
      </c>
      <c r="C370" s="11">
        <f t="shared" si="97"/>
        <v>6992.58</v>
      </c>
      <c r="D370" s="87"/>
      <c r="E370" s="87"/>
      <c r="F370" s="87">
        <f>200+3960</f>
        <v>4160</v>
      </c>
      <c r="G370" s="87"/>
      <c r="H370" s="87">
        <v>220</v>
      </c>
      <c r="I370" s="87"/>
      <c r="J370" s="87">
        <v>75</v>
      </c>
      <c r="K370" s="87">
        <f>94.2+628</f>
        <v>722.2</v>
      </c>
      <c r="L370" s="87">
        <f>1.8+10.5+73.08+280</f>
        <v>365.38</v>
      </c>
      <c r="M370" s="87"/>
      <c r="N370" s="87">
        <v>450</v>
      </c>
      <c r="O370" s="87">
        <f>450+550</f>
        <v>1000</v>
      </c>
    </row>
    <row r="371" spans="1:15" ht="30">
      <c r="A371" s="74"/>
      <c r="B371" s="119" t="s">
        <v>278</v>
      </c>
      <c r="C371" s="11">
        <f t="shared" si="97"/>
        <v>545</v>
      </c>
      <c r="D371" s="87"/>
      <c r="E371" s="87"/>
      <c r="F371" s="87"/>
      <c r="G371" s="87">
        <v>545</v>
      </c>
      <c r="H371" s="87"/>
      <c r="I371" s="87"/>
      <c r="J371" s="87"/>
      <c r="K371" s="87"/>
      <c r="L371" s="87"/>
      <c r="M371" s="87"/>
      <c r="N371" s="87"/>
      <c r="O371" s="87"/>
    </row>
    <row r="372" spans="1:15" ht="38.25">
      <c r="A372" s="74"/>
      <c r="B372" s="90" t="s">
        <v>335</v>
      </c>
      <c r="C372" s="11">
        <f t="shared" si="97"/>
        <v>3680</v>
      </c>
      <c r="D372" s="87"/>
      <c r="E372" s="87">
        <f>700</f>
        <v>700</v>
      </c>
      <c r="F372" s="87">
        <f>90+40+64</f>
        <v>194</v>
      </c>
      <c r="G372" s="87">
        <f>112+44+3+56+60</f>
        <v>275</v>
      </c>
      <c r="H372" s="87"/>
      <c r="I372" s="87"/>
      <c r="J372" s="87">
        <f>55+360+2</f>
        <v>417</v>
      </c>
      <c r="K372" s="87"/>
      <c r="L372" s="87"/>
      <c r="M372" s="87"/>
      <c r="N372" s="87">
        <v>2094</v>
      </c>
      <c r="O372" s="87"/>
    </row>
    <row r="373" spans="1:15" ht="38.25">
      <c r="A373" s="74"/>
      <c r="B373" s="90" t="s">
        <v>336</v>
      </c>
      <c r="C373" s="11">
        <f t="shared" si="97"/>
        <v>40442.61</v>
      </c>
      <c r="D373" s="87"/>
      <c r="E373" s="87">
        <f>520+2046+650+4190</f>
        <v>7406</v>
      </c>
      <c r="F373" s="87">
        <f>308.19+267.6+595.88+50+1440+15.52+2.2+1150+9.7</f>
        <v>3839.0899999999997</v>
      </c>
      <c r="G373" s="87">
        <f>2800+294+130+45+1350+1500+295+41+11992+180</f>
        <v>18627</v>
      </c>
      <c r="H373" s="87">
        <f>160+50+60+220+64+20+100</f>
        <v>674</v>
      </c>
      <c r="I373" s="87">
        <f>240+84+133+1080+130+451.7+133.2+160+2</f>
        <v>2413.8999999999996</v>
      </c>
      <c r="J373" s="87">
        <f>90+480+1830</f>
        <v>2400</v>
      </c>
      <c r="K373" s="87"/>
      <c r="L373" s="87">
        <v>290</v>
      </c>
      <c r="M373" s="87">
        <f>340</f>
        <v>340</v>
      </c>
      <c r="N373" s="87">
        <v>2235</v>
      </c>
      <c r="O373" s="87">
        <f>1395+276+210+180+156.62</f>
        <v>2217.62</v>
      </c>
    </row>
    <row r="374" spans="1:15" ht="38.25">
      <c r="A374" s="74"/>
      <c r="B374" s="90" t="s">
        <v>337</v>
      </c>
      <c r="C374" s="11">
        <f t="shared" si="97"/>
        <v>1080</v>
      </c>
      <c r="D374" s="87"/>
      <c r="E374" s="87"/>
      <c r="F374" s="87">
        <f>300+300+480</f>
        <v>1080</v>
      </c>
      <c r="G374" s="87"/>
      <c r="H374" s="87"/>
      <c r="I374" s="87"/>
      <c r="J374" s="87"/>
      <c r="K374" s="87"/>
      <c r="L374" s="87"/>
      <c r="M374" s="87"/>
      <c r="N374" s="87"/>
      <c r="O374" s="87"/>
    </row>
    <row r="375" spans="1:15" ht="38.25">
      <c r="A375" s="74"/>
      <c r="B375" s="90" t="s">
        <v>338</v>
      </c>
      <c r="C375" s="11">
        <f t="shared" si="97"/>
        <v>9768.11</v>
      </c>
      <c r="D375" s="87"/>
      <c r="E375" s="87">
        <v>580</v>
      </c>
      <c r="F375" s="87"/>
      <c r="G375" s="87"/>
      <c r="H375" s="87"/>
      <c r="I375" s="87">
        <v>5673.5</v>
      </c>
      <c r="J375" s="87"/>
      <c r="K375" s="87"/>
      <c r="L375" s="87">
        <f>149+180+75+135+20+88+225.61+183+310+303+58+130+95+180+20+150+255</f>
        <v>2556.61</v>
      </c>
      <c r="M375" s="87">
        <f>250+3+600+15+15+50+25</f>
        <v>958</v>
      </c>
      <c r="N375" s="87"/>
      <c r="O375" s="87"/>
    </row>
    <row r="376" spans="1:15" ht="51">
      <c r="A376" s="74"/>
      <c r="B376" s="90" t="s">
        <v>339</v>
      </c>
      <c r="C376" s="11">
        <f t="shared" si="97"/>
        <v>10571</v>
      </c>
      <c r="D376" s="87"/>
      <c r="E376" s="87">
        <f>2708+690</f>
        <v>3398</v>
      </c>
      <c r="F376" s="87"/>
      <c r="G376" s="87">
        <f>2998+975</f>
        <v>3973</v>
      </c>
      <c r="H376" s="87"/>
      <c r="I376" s="87">
        <f>800+800</f>
        <v>1600</v>
      </c>
      <c r="J376" s="87"/>
      <c r="K376" s="87"/>
      <c r="L376" s="87"/>
      <c r="M376" s="87">
        <v>800</v>
      </c>
      <c r="N376" s="87">
        <v>800</v>
      </c>
      <c r="O376" s="87"/>
    </row>
    <row r="377" spans="1:15" ht="38.25">
      <c r="A377" s="74"/>
      <c r="B377" s="90" t="s">
        <v>340</v>
      </c>
      <c r="C377" s="11">
        <f t="shared" si="97"/>
        <v>19078.920000000002</v>
      </c>
      <c r="D377" s="87"/>
      <c r="E377" s="87">
        <f>786.5</f>
        <v>786.5</v>
      </c>
      <c r="F377" s="87">
        <f>25.96+465.6+2042.8+400+113.5+50.4+285.2+1320+25.2+137.16</f>
        <v>4865.82</v>
      </c>
      <c r="G377" s="87"/>
      <c r="H377" s="87"/>
      <c r="I377" s="87">
        <f>143+159+406.8+3547+459+516+519+106+85+32.6</f>
        <v>5973.400000000001</v>
      </c>
      <c r="J377" s="87"/>
      <c r="K377" s="87">
        <f>132.5+533.5+1100+667.4+40+682.9+504.3+120</f>
        <v>3780.6000000000004</v>
      </c>
      <c r="L377" s="87"/>
      <c r="M377" s="87">
        <f>36+336+72</f>
        <v>444</v>
      </c>
      <c r="N377" s="87">
        <v>32</v>
      </c>
      <c r="O377" s="87">
        <f>32+250.5+2914.1</f>
        <v>3196.6</v>
      </c>
    </row>
    <row r="378" spans="1:15" ht="12.75">
      <c r="A378" s="74"/>
      <c r="B378" s="90" t="s">
        <v>271</v>
      </c>
      <c r="C378" s="11">
        <f t="shared" si="97"/>
        <v>7557.450000000001</v>
      </c>
      <c r="D378" s="87"/>
      <c r="E378" s="87">
        <f>562.6+853.7+104.2+613+652+251+48.5+36.7+210+30.3+46.6+1018.9+71.8+47.5</f>
        <v>4546.8</v>
      </c>
      <c r="F378" s="87">
        <f>1650.35+198.56+438.96+172.28</f>
        <v>2460.15</v>
      </c>
      <c r="G378" s="87"/>
      <c r="H378" s="87">
        <f>316.6+33.1+74.2+49+38.8+38.8</f>
        <v>550.5</v>
      </c>
      <c r="I378" s="87"/>
      <c r="J378" s="87"/>
      <c r="K378" s="87"/>
      <c r="L378" s="87"/>
      <c r="M378" s="87"/>
      <c r="N378" s="87"/>
      <c r="O378" s="87"/>
    </row>
    <row r="379" spans="1:15" ht="25.5">
      <c r="A379" s="74"/>
      <c r="B379" s="90" t="s">
        <v>281</v>
      </c>
      <c r="C379" s="11">
        <f t="shared" si="97"/>
        <v>8079.8</v>
      </c>
      <c r="D379" s="87"/>
      <c r="E379" s="87"/>
      <c r="F379" s="87"/>
      <c r="G379" s="87"/>
      <c r="H379" s="87">
        <f>150+792+88</f>
        <v>1030</v>
      </c>
      <c r="I379" s="87">
        <f>335+52</f>
        <v>387</v>
      </c>
      <c r="J379" s="87">
        <f>96+210+29+90+1295+1790+178+21</f>
        <v>3709</v>
      </c>
      <c r="K379" s="87">
        <f>190+129.9+271.6+9.2+103.1+178+80+220+260+131+30+35+288+39.97+23.19+130+40+794.84</f>
        <v>2953.8</v>
      </c>
      <c r="L379" s="87"/>
      <c r="M379" s="87"/>
      <c r="N379" s="87"/>
      <c r="O379" s="87"/>
    </row>
    <row r="380" spans="1:15" ht="12.75">
      <c r="A380" s="74"/>
      <c r="B380" s="90" t="s">
        <v>410</v>
      </c>
      <c r="C380" s="11">
        <f t="shared" si="97"/>
        <v>1950</v>
      </c>
      <c r="D380" s="87"/>
      <c r="E380" s="87"/>
      <c r="F380" s="87"/>
      <c r="G380" s="87"/>
      <c r="H380" s="87">
        <v>1650</v>
      </c>
      <c r="I380" s="87"/>
      <c r="J380" s="87">
        <v>300</v>
      </c>
      <c r="K380" s="87"/>
      <c r="L380" s="87"/>
      <c r="M380" s="87"/>
      <c r="N380" s="87"/>
      <c r="O380" s="87"/>
    </row>
    <row r="381" spans="1:15" ht="38.25">
      <c r="A381" s="74"/>
      <c r="B381" s="90" t="s">
        <v>341</v>
      </c>
      <c r="C381" s="11">
        <f t="shared" si="97"/>
        <v>677.3</v>
      </c>
      <c r="D381" s="87"/>
      <c r="E381" s="87"/>
      <c r="F381" s="87"/>
      <c r="G381" s="87"/>
      <c r="H381" s="87"/>
      <c r="I381" s="87"/>
      <c r="J381" s="87"/>
      <c r="K381" s="87"/>
      <c r="L381" s="87">
        <v>677.3</v>
      </c>
      <c r="M381" s="87"/>
      <c r="N381" s="87"/>
      <c r="O381" s="87"/>
    </row>
    <row r="382" spans="1:15" ht="12.75">
      <c r="A382" s="74"/>
      <c r="B382" s="90" t="s">
        <v>283</v>
      </c>
      <c r="C382" s="11">
        <f t="shared" si="97"/>
        <v>191</v>
      </c>
      <c r="D382" s="87"/>
      <c r="E382" s="87"/>
      <c r="F382" s="87"/>
      <c r="G382" s="87"/>
      <c r="H382" s="87"/>
      <c r="I382" s="87">
        <v>103</v>
      </c>
      <c r="J382" s="87">
        <v>88</v>
      </c>
      <c r="K382" s="87"/>
      <c r="L382" s="87"/>
      <c r="M382" s="87"/>
      <c r="N382" s="87"/>
      <c r="O382" s="87"/>
    </row>
    <row r="383" spans="1:15" ht="25.5">
      <c r="A383" s="74"/>
      <c r="B383" s="90" t="s">
        <v>282</v>
      </c>
      <c r="C383" s="11">
        <f t="shared" si="97"/>
        <v>449</v>
      </c>
      <c r="D383" s="87"/>
      <c r="E383" s="87"/>
      <c r="F383" s="87"/>
      <c r="G383" s="87"/>
      <c r="H383" s="87">
        <f>229+110+110</f>
        <v>449</v>
      </c>
      <c r="I383" s="87"/>
      <c r="J383" s="87"/>
      <c r="K383" s="87"/>
      <c r="L383" s="87"/>
      <c r="M383" s="87"/>
      <c r="N383" s="87"/>
      <c r="O383" s="87"/>
    </row>
    <row r="384" spans="1:15" ht="25.5">
      <c r="A384" s="74"/>
      <c r="B384" s="90" t="s">
        <v>279</v>
      </c>
      <c r="C384" s="11">
        <f t="shared" si="97"/>
        <v>22113.2</v>
      </c>
      <c r="D384" s="87"/>
      <c r="E384" s="87"/>
      <c r="F384" s="87"/>
      <c r="G384" s="87"/>
      <c r="H384" s="87">
        <f>228+257.2</f>
        <v>485.2</v>
      </c>
      <c r="I384" s="87">
        <v>228</v>
      </c>
      <c r="J384" s="87"/>
      <c r="K384" s="87"/>
      <c r="L384" s="87"/>
      <c r="M384" s="87">
        <f>1500+12000+100+250+350</f>
        <v>14200</v>
      </c>
      <c r="N384" s="87">
        <v>7200</v>
      </c>
      <c r="O384" s="87"/>
    </row>
    <row r="385" spans="1:15" ht="12.75">
      <c r="A385" s="74"/>
      <c r="B385" s="90" t="s">
        <v>280</v>
      </c>
      <c r="C385" s="11">
        <f t="shared" si="97"/>
        <v>9450</v>
      </c>
      <c r="D385" s="87"/>
      <c r="E385" s="87"/>
      <c r="F385" s="87"/>
      <c r="G385" s="87"/>
      <c r="H385" s="87">
        <f>4500</f>
        <v>4500</v>
      </c>
      <c r="I385" s="87"/>
      <c r="J385" s="87"/>
      <c r="K385" s="87"/>
      <c r="L385" s="87"/>
      <c r="M385" s="87">
        <v>4950</v>
      </c>
      <c r="N385" s="87"/>
      <c r="O385" s="87"/>
    </row>
    <row r="386" spans="1:15" ht="38.25">
      <c r="A386" s="74"/>
      <c r="B386" s="112" t="s">
        <v>284</v>
      </c>
      <c r="C386" s="11">
        <f t="shared" si="97"/>
        <v>90</v>
      </c>
      <c r="D386" s="87"/>
      <c r="E386" s="87"/>
      <c r="F386" s="87"/>
      <c r="G386" s="87"/>
      <c r="H386" s="87"/>
      <c r="I386" s="87"/>
      <c r="J386" s="87">
        <v>90</v>
      </c>
      <c r="K386" s="87"/>
      <c r="L386" s="87"/>
      <c r="M386" s="87"/>
      <c r="N386" s="87"/>
      <c r="O386" s="87"/>
    </row>
    <row r="387" spans="1:15" ht="38.25">
      <c r="A387" s="74"/>
      <c r="B387" s="112" t="s">
        <v>285</v>
      </c>
      <c r="C387" s="11">
        <f t="shared" si="97"/>
        <v>2800</v>
      </c>
      <c r="D387" s="87"/>
      <c r="E387" s="87"/>
      <c r="F387" s="87"/>
      <c r="G387" s="87"/>
      <c r="H387" s="87"/>
      <c r="I387" s="87"/>
      <c r="J387" s="87"/>
      <c r="K387" s="87"/>
      <c r="L387" s="87">
        <v>2800</v>
      </c>
      <c r="M387" s="87"/>
      <c r="N387" s="87"/>
      <c r="O387" s="87"/>
    </row>
    <row r="388" spans="1:15" ht="12.75">
      <c r="A388" s="74"/>
      <c r="B388" s="90" t="s">
        <v>333</v>
      </c>
      <c r="C388" s="11">
        <f t="shared" si="97"/>
        <v>18475.61</v>
      </c>
      <c r="D388" s="87"/>
      <c r="E388" s="87">
        <f>1762.34+511.76</f>
        <v>2274.1</v>
      </c>
      <c r="F388" s="87">
        <v>-2274.1</v>
      </c>
      <c r="G388" s="87"/>
      <c r="H388" s="87">
        <v>9659.5</v>
      </c>
      <c r="I388" s="87">
        <v>88.7</v>
      </c>
      <c r="J388" s="87">
        <v>-21.6</v>
      </c>
      <c r="K388" s="87">
        <v>-1510.57</v>
      </c>
      <c r="L388" s="87">
        <v>1450.91</v>
      </c>
      <c r="M388" s="87">
        <v>1373.5</v>
      </c>
      <c r="N388" s="87">
        <v>9192.9</v>
      </c>
      <c r="O388" s="87">
        <v>-1757.73</v>
      </c>
    </row>
    <row r="389" spans="1:15" s="64" customFormat="1" ht="12.75">
      <c r="A389" s="67">
        <v>59</v>
      </c>
      <c r="B389" s="68" t="s">
        <v>330</v>
      </c>
      <c r="C389" s="69">
        <f>SUM(D389:O389)</f>
        <v>5169.99</v>
      </c>
      <c r="D389" s="88"/>
      <c r="E389" s="88"/>
      <c r="F389" s="88"/>
      <c r="G389" s="88">
        <v>3061.5</v>
      </c>
      <c r="H389" s="88"/>
      <c r="I389" s="88">
        <v>108.49</v>
      </c>
      <c r="J389" s="88">
        <v>2000</v>
      </c>
      <c r="K389" s="88"/>
      <c r="L389" s="88"/>
      <c r="M389" s="88"/>
      <c r="N389" s="88"/>
      <c r="O389" s="88"/>
    </row>
    <row r="390" spans="1:15" s="64" customFormat="1" ht="12.75">
      <c r="A390" s="67">
        <v>60</v>
      </c>
      <c r="B390" s="68" t="s">
        <v>67</v>
      </c>
      <c r="C390" s="69">
        <f>SUM(D390:O390)</f>
        <v>0</v>
      </c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</row>
    <row r="391" spans="1:15" s="64" customFormat="1" ht="12.75">
      <c r="A391" s="67">
        <v>61</v>
      </c>
      <c r="B391" s="68" t="s">
        <v>55</v>
      </c>
      <c r="C391" s="69">
        <f aca="true" t="shared" si="98" ref="C391:C401">SUM(D391:O391)</f>
        <v>76897.89000000001</v>
      </c>
      <c r="D391" s="69">
        <v>7111.14</v>
      </c>
      <c r="E391" s="69">
        <v>7111.14</v>
      </c>
      <c r="F391" s="69">
        <v>7111.14</v>
      </c>
      <c r="G391" s="69">
        <v>7111.14</v>
      </c>
      <c r="H391" s="69">
        <v>7111.14</v>
      </c>
      <c r="I391" s="69">
        <v>7111.14</v>
      </c>
      <c r="J391" s="69">
        <v>7170.61</v>
      </c>
      <c r="K391" s="69"/>
      <c r="L391" s="69">
        <f>7136.38+6779.47</f>
        <v>13915.85</v>
      </c>
      <c r="M391" s="69">
        <v>7040.6</v>
      </c>
      <c r="N391" s="69"/>
      <c r="O391" s="69">
        <v>6103.99</v>
      </c>
    </row>
    <row r="392" spans="1:15" s="64" customFormat="1" ht="12.75">
      <c r="A392" s="67">
        <v>62</v>
      </c>
      <c r="B392" s="68" t="s">
        <v>56</v>
      </c>
      <c r="C392" s="69">
        <f t="shared" si="98"/>
        <v>944101.91</v>
      </c>
      <c r="D392" s="69">
        <f>20191.65+32336.72+47828.87</f>
        <v>100357.24</v>
      </c>
      <c r="E392" s="69">
        <v>94522.96</v>
      </c>
      <c r="F392" s="69">
        <v>85166.98</v>
      </c>
      <c r="G392" s="69">
        <v>71573.28</v>
      </c>
      <c r="H392" s="69">
        <v>83570.95</v>
      </c>
      <c r="I392" s="69">
        <v>72123.63</v>
      </c>
      <c r="J392" s="69"/>
      <c r="K392" s="69">
        <f>72894.11</f>
        <v>72894.11</v>
      </c>
      <c r="L392" s="69">
        <v>66262.39</v>
      </c>
      <c r="M392" s="69">
        <f>81754.79+62657.58</f>
        <v>144412.37</v>
      </c>
      <c r="N392" s="69">
        <v>71188.03</v>
      </c>
      <c r="O392" s="69">
        <v>82029.97</v>
      </c>
    </row>
    <row r="393" spans="1:15" s="64" customFormat="1" ht="12.75">
      <c r="A393" s="67">
        <v>63</v>
      </c>
      <c r="B393" s="68" t="s">
        <v>57</v>
      </c>
      <c r="C393" s="69">
        <f t="shared" si="98"/>
        <v>1125700.22</v>
      </c>
      <c r="D393" s="69"/>
      <c r="E393" s="69"/>
      <c r="F393" s="69"/>
      <c r="G393" s="69"/>
      <c r="H393" s="69">
        <v>102927.73</v>
      </c>
      <c r="I393" s="69">
        <v>32193.77</v>
      </c>
      <c r="J393" s="69">
        <v>314841.16</v>
      </c>
      <c r="K393" s="69">
        <f>8711.93+62483.58</f>
        <v>71195.51000000001</v>
      </c>
      <c r="L393" s="69">
        <f>174296.34+20712.47</f>
        <v>195008.81</v>
      </c>
      <c r="M393" s="69">
        <v>30578.3</v>
      </c>
      <c r="N393" s="69">
        <v>103562.39</v>
      </c>
      <c r="O393" s="69">
        <f>175392.55+100000</f>
        <v>275392.55</v>
      </c>
    </row>
    <row r="394" spans="1:15" s="64" customFormat="1" ht="12.75">
      <c r="A394" s="67">
        <v>64</v>
      </c>
      <c r="B394" s="68" t="s">
        <v>58</v>
      </c>
      <c r="C394" s="69">
        <f t="shared" si="98"/>
        <v>1938977.44</v>
      </c>
      <c r="D394" s="69">
        <v>145762.93</v>
      </c>
      <c r="E394" s="69">
        <v>181199.89</v>
      </c>
      <c r="F394" s="69">
        <v>187849.99</v>
      </c>
      <c r="G394" s="69">
        <v>162874.12</v>
      </c>
      <c r="H394" s="69">
        <v>157973.58</v>
      </c>
      <c r="I394" s="69">
        <v>138259.23</v>
      </c>
      <c r="J394" s="69">
        <v>147825.36</v>
      </c>
      <c r="K394" s="69">
        <v>136751.23</v>
      </c>
      <c r="L394" s="69">
        <v>136257.1</v>
      </c>
      <c r="M394" s="69">
        <v>180634.78</v>
      </c>
      <c r="N394" s="69">
        <v>164832.3</v>
      </c>
      <c r="O394" s="69">
        <v>198756.93</v>
      </c>
    </row>
    <row r="395" spans="1:15" s="64" customFormat="1" ht="12.75">
      <c r="A395" s="117">
        <v>65</v>
      </c>
      <c r="B395" s="68" t="s">
        <v>332</v>
      </c>
      <c r="C395" s="69">
        <f t="shared" si="98"/>
        <v>949741.29</v>
      </c>
      <c r="D395" s="69">
        <f>D396+D397</f>
        <v>284637.63</v>
      </c>
      <c r="E395" s="69">
        <f aca="true" t="shared" si="99" ref="E395:O395">E396+E397</f>
        <v>100000</v>
      </c>
      <c r="F395" s="69">
        <f t="shared" si="99"/>
        <v>260000</v>
      </c>
      <c r="G395" s="69">
        <f t="shared" si="99"/>
        <v>200007.51</v>
      </c>
      <c r="H395" s="69">
        <f t="shared" si="99"/>
        <v>0</v>
      </c>
      <c r="I395" s="69">
        <f t="shared" si="99"/>
        <v>105096.15</v>
      </c>
      <c r="J395" s="69">
        <f t="shared" si="99"/>
        <v>0</v>
      </c>
      <c r="K395" s="69">
        <f t="shared" si="99"/>
        <v>0</v>
      </c>
      <c r="L395" s="69">
        <f t="shared" si="99"/>
        <v>0</v>
      </c>
      <c r="M395" s="69">
        <f t="shared" si="99"/>
        <v>0</v>
      </c>
      <c r="N395" s="69">
        <f t="shared" si="99"/>
        <v>0</v>
      </c>
      <c r="O395" s="69">
        <f t="shared" si="99"/>
        <v>0</v>
      </c>
    </row>
    <row r="396" spans="1:15" ht="12.75">
      <c r="A396" s="87"/>
      <c r="B396" s="87" t="s">
        <v>418</v>
      </c>
      <c r="C396" s="11">
        <f t="shared" si="98"/>
        <v>938994.29</v>
      </c>
      <c r="D396" s="11">
        <f>100000+16250+157640.63</f>
        <v>273890.63</v>
      </c>
      <c r="E396" s="11">
        <v>100000</v>
      </c>
      <c r="F396" s="11">
        <f>50000+60000+100000+50000</f>
        <v>260000</v>
      </c>
      <c r="G396" s="11">
        <f>200007.51</f>
        <v>200007.51</v>
      </c>
      <c r="H396" s="11"/>
      <c r="I396" s="11">
        <f>105096.15</f>
        <v>105096.15</v>
      </c>
      <c r="J396" s="11"/>
      <c r="K396" s="11"/>
      <c r="L396" s="11"/>
      <c r="M396" s="11"/>
      <c r="N396" s="11"/>
      <c r="O396" s="11"/>
    </row>
    <row r="397" spans="1:15" ht="12.75">
      <c r="A397" s="87"/>
      <c r="B397" s="87" t="s">
        <v>30</v>
      </c>
      <c r="C397" s="11">
        <f t="shared" si="98"/>
        <v>10747</v>
      </c>
      <c r="D397" s="11">
        <v>10747</v>
      </c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2.75">
      <c r="A398" s="87"/>
      <c r="B398" s="87"/>
      <c r="C398" s="11">
        <f t="shared" si="98"/>
        <v>0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2.75">
      <c r="A399" s="87"/>
      <c r="B399" s="87"/>
      <c r="C399" s="11">
        <f t="shared" si="98"/>
        <v>0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2.75">
      <c r="A400" s="87"/>
      <c r="B400" s="87"/>
      <c r="C400" s="11">
        <f t="shared" si="98"/>
        <v>0</v>
      </c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2:15" ht="12.75">
      <c r="B401" s="70" t="s">
        <v>350</v>
      </c>
      <c r="C401" s="131">
        <f t="shared" si="98"/>
        <v>8446388.740000002</v>
      </c>
      <c r="D401" s="10">
        <f aca="true" t="shared" si="100" ref="D401:O401">SUMIF($A$244:$A$400,"&lt;&gt;",D244:D400)</f>
        <v>759884.41</v>
      </c>
      <c r="E401" s="10">
        <f t="shared" si="100"/>
        <v>600949.1000000001</v>
      </c>
      <c r="F401" s="10">
        <f t="shared" si="100"/>
        <v>871933.3799999999</v>
      </c>
      <c r="G401" s="10">
        <f t="shared" si="100"/>
        <v>702420.26</v>
      </c>
      <c r="H401" s="10">
        <f t="shared" si="100"/>
        <v>667112.39</v>
      </c>
      <c r="I401" s="10">
        <f t="shared" si="100"/>
        <v>736944.8</v>
      </c>
      <c r="J401" s="10">
        <f t="shared" si="100"/>
        <v>758114.5399999999</v>
      </c>
      <c r="K401" s="10">
        <f t="shared" si="100"/>
        <v>502685.66000000003</v>
      </c>
      <c r="L401" s="10">
        <f t="shared" si="100"/>
        <v>688576.58</v>
      </c>
      <c r="M401" s="10">
        <f t="shared" si="100"/>
        <v>667964.2999999999</v>
      </c>
      <c r="N401" s="10">
        <f t="shared" si="100"/>
        <v>618023.94</v>
      </c>
      <c r="O401" s="10">
        <f t="shared" si="100"/>
        <v>871779.3799999999</v>
      </c>
    </row>
    <row r="403" spans="3:15" ht="12.75">
      <c r="C403" s="121" t="s">
        <v>348</v>
      </c>
      <c r="D403" s="10">
        <f>502216.5+257667.91</f>
        <v>759884.41</v>
      </c>
      <c r="E403" s="10">
        <v>600949.1</v>
      </c>
      <c r="F403" s="10">
        <v>871933.38</v>
      </c>
      <c r="G403" s="10">
        <v>702420.26</v>
      </c>
      <c r="H403" s="10">
        <v>667112.39</v>
      </c>
      <c r="I403" s="10">
        <v>736944.8</v>
      </c>
      <c r="J403" s="10">
        <v>758114.54</v>
      </c>
      <c r="K403" s="10">
        <v>502685.66</v>
      </c>
      <c r="L403" s="10">
        <v>688576.58</v>
      </c>
      <c r="M403" s="10">
        <v>667964.3</v>
      </c>
      <c r="N403" s="10">
        <v>618023.94</v>
      </c>
      <c r="O403" s="70">
        <v>871779.38</v>
      </c>
    </row>
    <row r="405" spans="3:15" ht="12.75">
      <c r="C405" s="125" t="s">
        <v>349</v>
      </c>
      <c r="D405" s="126">
        <f>D403-D401</f>
        <v>0</v>
      </c>
      <c r="E405" s="126">
        <f aca="true" t="shared" si="101" ref="E405:O405">E403-E401</f>
        <v>0</v>
      </c>
      <c r="F405" s="126">
        <f t="shared" si="101"/>
        <v>0</v>
      </c>
      <c r="G405" s="126">
        <f t="shared" si="101"/>
        <v>0</v>
      </c>
      <c r="H405" s="126">
        <f t="shared" si="101"/>
        <v>0</v>
      </c>
      <c r="I405" s="126">
        <f t="shared" si="101"/>
        <v>0</v>
      </c>
      <c r="J405" s="126">
        <f t="shared" si="101"/>
        <v>0</v>
      </c>
      <c r="K405" s="126">
        <f t="shared" si="101"/>
        <v>0</v>
      </c>
      <c r="L405" s="126">
        <f t="shared" si="101"/>
        <v>0</v>
      </c>
      <c r="M405" s="126">
        <f t="shared" si="101"/>
        <v>0</v>
      </c>
      <c r="N405" s="126">
        <f t="shared" si="101"/>
        <v>0</v>
      </c>
      <c r="O405" s="126">
        <f t="shared" si="101"/>
        <v>0</v>
      </c>
    </row>
  </sheetData>
  <sheetProtection/>
  <autoFilter ref="A243:O401"/>
  <printOptions/>
  <pageMargins left="0.31496062992125984" right="0.31496062992125984" top="0.35433070866141736" bottom="0.35433070866141736" header="0.31496062992125984" footer="0.31496062992125984"/>
  <pageSetup fitToHeight="10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3.00390625" style="0" bestFit="1" customWidth="1"/>
    <col min="2" max="2" width="33.8515625" style="0" customWidth="1"/>
    <col min="3" max="4" width="13.28125" style="0" customWidth="1"/>
    <col min="5" max="5" width="19.00390625" style="0" customWidth="1"/>
    <col min="6" max="6" width="11.421875" style="0" bestFit="1" customWidth="1"/>
    <col min="7" max="7" width="12.140625" style="0" customWidth="1"/>
  </cols>
  <sheetData>
    <row r="1" spans="2:4" ht="25.5" customHeight="1">
      <c r="B1" s="177" t="str">
        <f>'ОДДС 2010'!B1</f>
        <v>РЕЗУЛЬТАТЫ ДЕЯТЕЛЬНОСТИ ПОМЕСЯЧНО ТСЖ"ТАТИЩЕВА,92"</v>
      </c>
      <c r="C1" s="177"/>
      <c r="D1" s="177"/>
    </row>
    <row r="2" spans="2:5" ht="39">
      <c r="B2" s="19" t="s">
        <v>88</v>
      </c>
      <c r="C2" s="19" t="s">
        <v>89</v>
      </c>
      <c r="D2" s="19" t="s">
        <v>90</v>
      </c>
      <c r="E2" s="19" t="s">
        <v>374</v>
      </c>
    </row>
    <row r="3" spans="2:5" ht="25.5">
      <c r="B3" s="15" t="str">
        <f>'ОДДС 2010'!B3</f>
        <v>Содержание и ремонт общедомового имущества</v>
      </c>
      <c r="C3" s="14">
        <f>'ОДДС 2010'!C3</f>
        <v>3138173.789999999</v>
      </c>
      <c r="D3" s="14">
        <f>'ОДДС 2010'!C44</f>
        <v>3015196.8200000003</v>
      </c>
      <c r="E3" s="14">
        <f>C3-D3</f>
        <v>122976.96999999881</v>
      </c>
    </row>
    <row r="4" spans="2:5" ht="15">
      <c r="B4" s="16" t="str">
        <f>'ОДДС 2010'!B4</f>
        <v>квартиры</v>
      </c>
      <c r="C4" s="4">
        <f>'ОДДС 2010'!C4</f>
        <v>2677109.1900000004</v>
      </c>
      <c r="D4" s="4">
        <f>'ОДДС 2010'!C45</f>
        <v>2554984.92</v>
      </c>
      <c r="E4" s="4">
        <f aca="true" t="shared" si="0" ref="E4:E40">C4-D4</f>
        <v>122124.27000000048</v>
      </c>
    </row>
    <row r="5" spans="2:5" ht="15">
      <c r="B5" s="16" t="str">
        <f>'ОДДС 2010'!B5</f>
        <v>офисы</v>
      </c>
      <c r="C5" s="4">
        <f>'ОДДС 2010'!C5</f>
        <v>328441.56</v>
      </c>
      <c r="D5" s="4">
        <f>'ОДДС 2010'!C46</f>
        <v>322084</v>
      </c>
      <c r="E5" s="4">
        <f t="shared" si="0"/>
        <v>6357.559999999998</v>
      </c>
    </row>
    <row r="6" spans="2:5" ht="15">
      <c r="B6" s="17" t="str">
        <f>'ОДДС 2010'!B6</f>
        <v>гаражи</v>
      </c>
      <c r="C6" s="4">
        <f>'ОДДС 2010'!C6</f>
        <v>132623.04</v>
      </c>
      <c r="D6" s="4">
        <f>'ОДДС 2010'!C47</f>
        <v>138127.90000000002</v>
      </c>
      <c r="E6" s="4">
        <f t="shared" si="0"/>
        <v>-5504.860000000015</v>
      </c>
    </row>
    <row r="7" spans="2:5" ht="15">
      <c r="B7" s="15" t="str">
        <f>'ОДДС 2010'!B7</f>
        <v>Взносы на капитальный ремонт</v>
      </c>
      <c r="C7" s="14">
        <f>'ОДДС 2010'!C7</f>
        <v>553040.25</v>
      </c>
      <c r="D7" s="14">
        <f>'ОДДС 2010'!C48</f>
        <v>514507.63</v>
      </c>
      <c r="E7" s="14">
        <f t="shared" si="0"/>
        <v>38532.619999999995</v>
      </c>
    </row>
    <row r="8" spans="2:5" ht="15">
      <c r="B8" s="16" t="str">
        <f>'ОДДС 2010'!B8</f>
        <v>квартиры</v>
      </c>
      <c r="C8" s="4">
        <f>'ОДДС 2010'!C8</f>
        <v>453746.25</v>
      </c>
      <c r="D8" s="4">
        <f>'ОДДС 2010'!C49</f>
        <v>416862.81</v>
      </c>
      <c r="E8" s="4">
        <f t="shared" si="0"/>
        <v>36883.44</v>
      </c>
    </row>
    <row r="9" spans="2:5" ht="15">
      <c r="B9" s="16" t="str">
        <f>'ОДДС 2010'!B9</f>
        <v>офисы</v>
      </c>
      <c r="C9" s="4">
        <f>'ОДДС 2010'!C9</f>
        <v>55668</v>
      </c>
      <c r="D9" s="4">
        <f>'ОДДС 2010'!C50</f>
        <v>52967.58</v>
      </c>
      <c r="E9" s="4">
        <f t="shared" si="0"/>
        <v>2700.4199999999983</v>
      </c>
    </row>
    <row r="10" spans="2:5" ht="15">
      <c r="B10" s="17" t="str">
        <f>'ОДДС 2010'!B10</f>
        <v>гаражи</v>
      </c>
      <c r="C10" s="4">
        <f>'ОДДС 2010'!C10</f>
        <v>43626</v>
      </c>
      <c r="D10" s="4">
        <f>'ОДДС 2010'!C51</f>
        <v>44677.240000000005</v>
      </c>
      <c r="E10" s="4">
        <f t="shared" si="0"/>
        <v>-1051.2400000000052</v>
      </c>
    </row>
    <row r="11" spans="2:5" ht="15">
      <c r="B11" s="15" t="str">
        <f>'ОДДС 2010'!B11</f>
        <v>Отопление</v>
      </c>
      <c r="C11" s="3">
        <f>'ОДДС 2010'!C11</f>
        <v>1031538.78</v>
      </c>
      <c r="D11" s="3">
        <f>'ОДДС 2010'!C52</f>
        <v>1025285.56</v>
      </c>
      <c r="E11" s="3">
        <f t="shared" si="0"/>
        <v>6253.219999999972</v>
      </c>
    </row>
    <row r="12" spans="2:5" ht="15">
      <c r="B12" s="16" t="str">
        <f>'ОДДС 2010'!B12</f>
        <v>квартиры</v>
      </c>
      <c r="C12" s="4">
        <f>'ОДДС 2010'!C12</f>
        <v>743819.3300000001</v>
      </c>
      <c r="D12" s="4">
        <f>'ОДДС 2010'!C53</f>
        <v>748847.87</v>
      </c>
      <c r="E12" s="4">
        <f t="shared" si="0"/>
        <v>-5028.539999999921</v>
      </c>
    </row>
    <row r="13" spans="2:5" ht="15">
      <c r="B13" s="16" t="str">
        <f>'ОДДС 2010'!B13</f>
        <v>офисы</v>
      </c>
      <c r="C13" s="4">
        <f>'ОДДС 2010'!C13</f>
        <v>185089.34999999998</v>
      </c>
      <c r="D13" s="4">
        <f>'ОДДС 2010'!C54</f>
        <v>163826.5</v>
      </c>
      <c r="E13" s="4">
        <f t="shared" si="0"/>
        <v>21262.849999999977</v>
      </c>
    </row>
    <row r="14" spans="2:5" ht="15">
      <c r="B14" s="16" t="str">
        <f>'ОДДС 2010'!B14</f>
        <v>гаражи</v>
      </c>
      <c r="C14" s="4">
        <f>'ОДДС 2010'!C14</f>
        <v>102630.09999999999</v>
      </c>
      <c r="D14" s="4">
        <f>'ОДДС 2010'!C55</f>
        <v>112611.18999999999</v>
      </c>
      <c r="E14" s="4">
        <f t="shared" si="0"/>
        <v>-9981.089999999997</v>
      </c>
    </row>
    <row r="15" spans="2:5" ht="15">
      <c r="B15" s="15" t="str">
        <f>'ОДДС 2010'!B15</f>
        <v>ХВС</v>
      </c>
      <c r="C15" s="3">
        <f>'ОДДС 2010'!C15</f>
        <v>378562.81</v>
      </c>
      <c r="D15" s="3">
        <f>'ОДДС 2010'!C56</f>
        <v>321760.98000000004</v>
      </c>
      <c r="E15" s="3">
        <f t="shared" si="0"/>
        <v>56801.82999999996</v>
      </c>
    </row>
    <row r="16" spans="2:5" ht="15">
      <c r="B16" s="16" t="str">
        <f>'ОДДС 2010'!B16</f>
        <v>квартиры</v>
      </c>
      <c r="C16" s="4">
        <f>'ОДДС 2010'!C16</f>
        <v>332710.77999999997</v>
      </c>
      <c r="D16" s="4">
        <f>'ОДДС 2010'!C57</f>
        <v>289530.82</v>
      </c>
      <c r="E16" s="4">
        <f t="shared" si="0"/>
        <v>43179.95999999996</v>
      </c>
    </row>
    <row r="17" spans="2:5" ht="15">
      <c r="B17" s="16" t="str">
        <f>'ОДДС 2010'!B17</f>
        <v>офисы</v>
      </c>
      <c r="C17" s="4">
        <f>'ОДДС 2010'!C17</f>
        <v>45852.030000000006</v>
      </c>
      <c r="D17" s="4">
        <f>'ОДДС 2010'!C58</f>
        <v>32230.160000000003</v>
      </c>
      <c r="E17" s="4">
        <f t="shared" si="0"/>
        <v>13621.870000000003</v>
      </c>
    </row>
    <row r="18" spans="2:5" ht="15">
      <c r="B18" s="15" t="str">
        <f>'ОДДС 2010'!B18</f>
        <v>ГВС подача</v>
      </c>
      <c r="C18" s="3">
        <f>'ОДДС 2010'!C18</f>
        <v>261570.62999999998</v>
      </c>
      <c r="D18" s="3">
        <f>'ОДДС 2010'!C59</f>
        <v>259788.02000000002</v>
      </c>
      <c r="E18" s="3">
        <f t="shared" si="0"/>
        <v>1782.609999999957</v>
      </c>
    </row>
    <row r="19" spans="2:5" ht="15">
      <c r="B19" s="16" t="str">
        <f>'ОДДС 2010'!B19</f>
        <v>квартиры</v>
      </c>
      <c r="C19" s="4">
        <f>'ОДДС 2010'!C19</f>
        <v>259021.96999999997</v>
      </c>
      <c r="D19" s="4">
        <f>'ОДДС 2010'!C60</f>
        <v>242585.83000000002</v>
      </c>
      <c r="E19" s="4">
        <f t="shared" si="0"/>
        <v>16436.139999999956</v>
      </c>
    </row>
    <row r="20" spans="2:5" ht="15">
      <c r="B20" s="16" t="str">
        <f>'ОДДС 2010'!B20</f>
        <v>офисы</v>
      </c>
      <c r="C20" s="4">
        <f>'ОДДС 2010'!C20</f>
        <v>2548.66</v>
      </c>
      <c r="D20" s="4">
        <f>'ОДДС 2010'!C61</f>
        <v>17202.19</v>
      </c>
      <c r="E20" s="4">
        <f t="shared" si="0"/>
        <v>-14653.529999999999</v>
      </c>
    </row>
    <row r="21" spans="2:5" ht="15">
      <c r="B21" s="15" t="str">
        <f>'ОДДС 2010'!B21</f>
        <v>ГВС нагрев</v>
      </c>
      <c r="C21" s="3">
        <f>'ОДДС 2010'!C21</f>
        <v>525300.0399999999</v>
      </c>
      <c r="D21" s="3">
        <f>'ОДДС 2010'!C62</f>
        <v>527464.9200000002</v>
      </c>
      <c r="E21" s="3">
        <f t="shared" si="0"/>
        <v>-2164.8800000002375</v>
      </c>
    </row>
    <row r="22" spans="2:5" ht="15">
      <c r="B22" s="16" t="str">
        <f>'ОДДС 2010'!B22</f>
        <v>квартиры</v>
      </c>
      <c r="C22" s="4">
        <f>'ОДДС 2010'!C22</f>
        <v>492816.99000000005</v>
      </c>
      <c r="D22" s="4">
        <f>'ОДДС 2010'!C63</f>
        <v>496253.81000000006</v>
      </c>
      <c r="E22" s="4">
        <f t="shared" si="0"/>
        <v>-3436.820000000007</v>
      </c>
    </row>
    <row r="23" spans="2:5" ht="15">
      <c r="B23" s="16" t="str">
        <f>'ОДДС 2010'!B23</f>
        <v>офисы</v>
      </c>
      <c r="C23" s="4">
        <f>'ОДДС 2010'!C23</f>
        <v>32483.050000000003</v>
      </c>
      <c r="D23" s="4">
        <f>'ОДДС 2010'!C64</f>
        <v>31211.11</v>
      </c>
      <c r="E23" s="4">
        <f t="shared" si="0"/>
        <v>1271.9400000000023</v>
      </c>
    </row>
    <row r="24" spans="2:5" ht="15">
      <c r="B24" s="15" t="str">
        <f>'ОДДС 2010'!B24</f>
        <v>Водоотведение</v>
      </c>
      <c r="C24" s="3">
        <f>'ОДДС 2010'!C24</f>
        <v>318187.95</v>
      </c>
      <c r="D24" s="3">
        <f>'ОДДС 2010'!C65</f>
        <v>294737.92</v>
      </c>
      <c r="E24" s="3">
        <f t="shared" si="0"/>
        <v>23450.030000000028</v>
      </c>
    </row>
    <row r="25" spans="2:5" ht="15">
      <c r="B25" s="16" t="str">
        <f>'ОДДС 2010'!B25</f>
        <v>квартиры</v>
      </c>
      <c r="C25" s="4">
        <f>'ОДДС 2010'!C25</f>
        <v>292021.9</v>
      </c>
      <c r="D25" s="4">
        <f>'ОДДС 2010'!C66</f>
        <v>269806.8</v>
      </c>
      <c r="E25" s="4">
        <f t="shared" si="0"/>
        <v>22215.100000000035</v>
      </c>
    </row>
    <row r="26" spans="2:7" ht="15">
      <c r="B26" s="16" t="str">
        <f>'ОДДС 2010'!B26</f>
        <v>офисы</v>
      </c>
      <c r="C26" s="4">
        <f>'ОДДС 2010'!C26</f>
        <v>26166.049999999996</v>
      </c>
      <c r="D26" s="4">
        <f>'ОДДС 2010'!C67</f>
        <v>24931.12</v>
      </c>
      <c r="E26" s="4">
        <f t="shared" si="0"/>
        <v>1234.9299999999967</v>
      </c>
      <c r="G26" s="96">
        <v>100587.1</v>
      </c>
    </row>
    <row r="27" spans="2:7" ht="15">
      <c r="B27" s="15" t="str">
        <f>'ОДДС 2010'!B27</f>
        <v>Электроэнергия</v>
      </c>
      <c r="C27" s="3">
        <f>'ОДДС 2010'!C27</f>
        <v>2160542.49</v>
      </c>
      <c r="D27" s="3">
        <f>'ОДДС 2010'!C68</f>
        <v>2110035.1900000004</v>
      </c>
      <c r="E27" s="3">
        <f t="shared" si="0"/>
        <v>50507.299999999814</v>
      </c>
      <c r="G27" s="96">
        <v>45176.28</v>
      </c>
    </row>
    <row r="28" spans="2:7" ht="15">
      <c r="B28" s="16" t="str">
        <f>'ОДДС 2010'!B28</f>
        <v>квартиры</v>
      </c>
      <c r="C28" s="4">
        <f>'ОДДС 2010'!C28</f>
        <v>1095601.3900000001</v>
      </c>
      <c r="D28" s="4">
        <f>'ОДДС 2010'!C69</f>
        <v>1035126.7000000001</v>
      </c>
      <c r="E28" s="4">
        <f t="shared" si="0"/>
        <v>60474.69000000006</v>
      </c>
      <c r="G28" s="96">
        <f>D41+G26+G27</f>
        <v>8488608.47</v>
      </c>
    </row>
    <row r="29" spans="2:7" ht="15">
      <c r="B29" s="16" t="str">
        <f>'ОДДС 2010'!B29</f>
        <v>офисы</v>
      </c>
      <c r="C29" s="4">
        <f>'ОДДС 2010'!C29</f>
        <v>967688.1799999999</v>
      </c>
      <c r="D29" s="4">
        <f>'ОДДС 2010'!C70</f>
        <v>971116.5399999999</v>
      </c>
      <c r="E29" s="4">
        <f t="shared" si="0"/>
        <v>-3428.359999999986</v>
      </c>
      <c r="F29" s="56"/>
      <c r="G29" s="97"/>
    </row>
    <row r="30" spans="2:7" ht="15">
      <c r="B30" s="16" t="str">
        <f>'ОДДС 2010'!B30</f>
        <v>гаражи</v>
      </c>
      <c r="C30" s="4">
        <f>'ОДДС 2010'!C30</f>
        <v>97252.92</v>
      </c>
      <c r="D30" s="4">
        <f>'ОДДС 2010'!C71</f>
        <v>103791.95000000001</v>
      </c>
      <c r="E30" s="4">
        <f t="shared" si="0"/>
        <v>-6539.030000000013</v>
      </c>
      <c r="G30" s="96">
        <f>243905.91+1825+1100</f>
        <v>246830.91</v>
      </c>
    </row>
    <row r="31" spans="2:7" ht="15">
      <c r="B31" s="15" t="str">
        <f>'ОДДС 2010'!B31</f>
        <v>Перерасчет</v>
      </c>
      <c r="C31" s="3">
        <f>'ОДДС 2010'!C31</f>
        <v>0</v>
      </c>
      <c r="D31" s="3">
        <f>'ОДДС 2010'!C72</f>
        <v>-4372.61</v>
      </c>
      <c r="E31" s="3">
        <f t="shared" si="0"/>
        <v>4372.61</v>
      </c>
      <c r="G31" s="96">
        <v>5846708.67</v>
      </c>
    </row>
    <row r="32" spans="2:7" ht="15">
      <c r="B32" s="16" t="str">
        <f>'ОДДС 2010'!B32</f>
        <v>квартиры</v>
      </c>
      <c r="C32" s="4">
        <f>'ОДДС 2010'!C32</f>
        <v>0</v>
      </c>
      <c r="D32" s="4">
        <f>'ОДДС 2010'!C73</f>
        <v>-4372.61</v>
      </c>
      <c r="E32" s="4">
        <f t="shared" si="0"/>
        <v>4372.61</v>
      </c>
      <c r="G32" s="96">
        <f>SUM(G30:G31)</f>
        <v>6093539.58</v>
      </c>
    </row>
    <row r="33" spans="2:7" ht="15">
      <c r="B33" s="16" t="str">
        <f>'ОДДС 2010'!B33</f>
        <v>офисы</v>
      </c>
      <c r="C33" s="4">
        <f>'ОДДС 2010'!C33</f>
        <v>0</v>
      </c>
      <c r="D33" s="4">
        <f>'ОДДС 2010'!C74</f>
        <v>0</v>
      </c>
      <c r="E33" s="4">
        <f t="shared" si="0"/>
        <v>0</v>
      </c>
      <c r="G33" s="98">
        <v>1238</v>
      </c>
    </row>
    <row r="34" spans="2:7" ht="15">
      <c r="B34" s="16" t="str">
        <f>'ОДДС 2010'!B34</f>
        <v>гаражи</v>
      </c>
      <c r="C34" s="4">
        <f>'ОДДС 2010'!C34</f>
        <v>0</v>
      </c>
      <c r="D34" s="4">
        <f>'ОДДС 2010'!C75</f>
        <v>0</v>
      </c>
      <c r="E34" s="4">
        <f t="shared" si="0"/>
        <v>0</v>
      </c>
      <c r="G34" s="98">
        <v>10726.2</v>
      </c>
    </row>
    <row r="35" spans="2:7" ht="15">
      <c r="B35" s="15" t="str">
        <f>'ОДДС 2010'!B35</f>
        <v>Пени</v>
      </c>
      <c r="C35" s="3">
        <f>'ОДДС 2010'!C35</f>
        <v>22727.16</v>
      </c>
      <c r="D35" s="3">
        <f>'ОДДС 2010'!C76</f>
        <v>19756.07</v>
      </c>
      <c r="E35" s="3">
        <f t="shared" si="0"/>
        <v>2971.09</v>
      </c>
      <c r="G35" s="96">
        <v>3500</v>
      </c>
    </row>
    <row r="36" spans="2:7" ht="15">
      <c r="B36" s="15" t="str">
        <f>'ОДДС 2010'!B36</f>
        <v>Комиссия банка</v>
      </c>
      <c r="C36" s="3">
        <f>'ОДДС 2010'!C36</f>
        <v>0</v>
      </c>
      <c r="D36" s="3">
        <f>'ОДДС 2010'!C77</f>
        <v>605.3699999999999</v>
      </c>
      <c r="E36" s="3">
        <f t="shared" si="0"/>
        <v>-605.3699999999999</v>
      </c>
      <c r="G36" s="96">
        <v>2001</v>
      </c>
    </row>
    <row r="37" spans="2:7" ht="15">
      <c r="B37" s="16" t="str">
        <f>'ОДДС 2010'!B37</f>
        <v>квартиры</v>
      </c>
      <c r="C37" s="4">
        <f>'ОДДС 2010'!C37</f>
        <v>0</v>
      </c>
      <c r="D37" s="4">
        <f>'ОДДС 2010'!C78</f>
        <v>396.17</v>
      </c>
      <c r="E37" s="4">
        <f t="shared" si="0"/>
        <v>-396.17</v>
      </c>
      <c r="G37" s="96">
        <f>G32-G33-G34-G35-G36</f>
        <v>6076074.38</v>
      </c>
    </row>
    <row r="38" spans="2:7" ht="15">
      <c r="B38" s="16" t="str">
        <f>'ОДДС 2010'!B38</f>
        <v>гаражи</v>
      </c>
      <c r="C38" s="4">
        <f>'ОДДС 2010'!C38</f>
        <v>0</v>
      </c>
      <c r="D38" s="4">
        <f>'ОДДС 2010'!C79</f>
        <v>209.2</v>
      </c>
      <c r="E38" s="4">
        <f t="shared" si="0"/>
        <v>-209.2</v>
      </c>
      <c r="G38" s="97"/>
    </row>
    <row r="39" spans="2:7" ht="38.25">
      <c r="B39" s="15" t="str">
        <f>'ОДДС 2010'!B39</f>
        <v>Плата провайдеров за размещение оборудования связи в доме</v>
      </c>
      <c r="C39" s="14">
        <f>'ОДДС 2010'!C39</f>
        <v>182500</v>
      </c>
      <c r="D39" s="14">
        <f>'ОДДС 2010'!C80</f>
        <v>240500</v>
      </c>
      <c r="E39" s="14">
        <f t="shared" si="0"/>
        <v>-58000</v>
      </c>
      <c r="G39" s="96">
        <f>G37-D41</f>
        <v>-2266770.710000001</v>
      </c>
    </row>
    <row r="40" spans="2:5" ht="15">
      <c r="B40" s="18" t="str">
        <f>'ОДДС 2010'!B40</f>
        <v>Прочие поступления</v>
      </c>
      <c r="C40" s="5">
        <f>'ОДДС 2010'!C40</f>
        <v>0</v>
      </c>
      <c r="D40" s="5">
        <f>'ОДДС 2010'!C81+'ОДДС 2010'!C82</f>
        <v>17579.22</v>
      </c>
      <c r="E40" s="5">
        <f t="shared" si="0"/>
        <v>-17579.22</v>
      </c>
    </row>
    <row r="41" spans="2:6" ht="15">
      <c r="B41" s="95" t="str">
        <f>'ОДДС 2010'!B41</f>
        <v>Итого</v>
      </c>
      <c r="C41" s="63">
        <f>'ОДДС 2010'!C41</f>
        <v>8572143.899999999</v>
      </c>
      <c r="D41" s="63">
        <f>'ОДДС 2010'!C83</f>
        <v>8342845.090000001</v>
      </c>
      <c r="E41" s="63">
        <f>C41-D41</f>
        <v>229298.80999999773</v>
      </c>
      <c r="F41" s="101"/>
    </row>
    <row r="42" spans="2:5" ht="15">
      <c r="B42" s="187"/>
      <c r="C42" s="187"/>
      <c r="D42" s="187"/>
      <c r="E42" s="66"/>
    </row>
    <row r="43" spans="2:5" ht="15">
      <c r="B43" s="187"/>
      <c r="C43" s="187"/>
      <c r="D43" s="187"/>
      <c r="E43" s="66"/>
    </row>
    <row r="44" spans="3:5" ht="15">
      <c r="C44" s="6"/>
      <c r="D44" s="6"/>
      <c r="E44" s="6"/>
    </row>
    <row r="46" spans="2:5" ht="39">
      <c r="B46" s="19" t="s">
        <v>368</v>
      </c>
      <c r="C46" s="19" t="s">
        <v>372</v>
      </c>
      <c r="D46" s="19" t="s">
        <v>373</v>
      </c>
      <c r="E46" s="19" t="s">
        <v>91</v>
      </c>
    </row>
    <row r="47" spans="1:5" ht="25.5">
      <c r="A47" s="89">
        <f>'ОДДС 2010'!A88</f>
        <v>1</v>
      </c>
      <c r="B47" s="89" t="str">
        <f>'ОДДС 2010'!B88</f>
        <v>Оплата труда, включая РК, ЕСН, НС и ПЗ, НДФЛ, в том числе:</v>
      </c>
      <c r="C47" s="13">
        <f>'ОДДС 2010'!C88</f>
        <v>942701.82</v>
      </c>
      <c r="D47" s="3">
        <f>'ОДДС 2010'!C244</f>
        <v>942701.82</v>
      </c>
      <c r="E47" s="3">
        <f>C47-D47</f>
        <v>0</v>
      </c>
    </row>
    <row r="48" spans="1:5" ht="15">
      <c r="A48" s="132"/>
      <c r="B48" s="90" t="str">
        <f>'ОДДС 2010'!B89</f>
        <v>председатель</v>
      </c>
      <c r="C48" s="53">
        <f>'ОДДС 2010'!C89</f>
        <v>144988.32</v>
      </c>
      <c r="D48" s="4">
        <f>'ОДДС 2010'!C245</f>
        <v>144988.32</v>
      </c>
      <c r="E48" s="4">
        <f aca="true" t="shared" si="1" ref="E48:E111">C48-D48</f>
        <v>0</v>
      </c>
    </row>
    <row r="49" spans="1:5" ht="15">
      <c r="A49" s="132"/>
      <c r="B49" s="90" t="str">
        <f>'ОДДС 2010'!B90</f>
        <v>управляющий</v>
      </c>
      <c r="C49" s="53">
        <f>'ОДДС 2010'!C90</f>
        <v>227499.37000000002</v>
      </c>
      <c r="D49" s="4">
        <f>'ОДДС 2010'!C246</f>
        <v>227499.37000000002</v>
      </c>
      <c r="E49" s="4">
        <f t="shared" si="1"/>
        <v>0</v>
      </c>
    </row>
    <row r="50" spans="1:5" ht="15">
      <c r="A50" s="132"/>
      <c r="B50" s="90" t="str">
        <f>'ОДДС 2010'!B91</f>
        <v>бухгалтер по начислениям</v>
      </c>
      <c r="C50" s="53">
        <f>'ОДДС 2010'!C91</f>
        <v>71053.51</v>
      </c>
      <c r="D50" s="4">
        <f>'ОДДС 2010'!C247</f>
        <v>71053.51</v>
      </c>
      <c r="E50" s="4">
        <f t="shared" si="1"/>
        <v>0</v>
      </c>
    </row>
    <row r="51" spans="1:5" ht="15">
      <c r="A51" s="132"/>
      <c r="B51" s="90" t="str">
        <f>'ОДДС 2010'!B92</f>
        <v>дворник, уборщицы</v>
      </c>
      <c r="C51" s="53">
        <f>'ОДДС 2010'!C92</f>
        <v>372184.2699999999</v>
      </c>
      <c r="D51" s="4">
        <f>'ОДДС 2010'!C248</f>
        <v>372184.27</v>
      </c>
      <c r="E51" s="4">
        <f t="shared" si="1"/>
        <v>0</v>
      </c>
    </row>
    <row r="52" spans="1:5" ht="15">
      <c r="A52" s="132"/>
      <c r="B52" s="90" t="str">
        <f>'ОДДС 2010'!B93</f>
        <v>диспетчера</v>
      </c>
      <c r="C52" s="53">
        <f>'ОДДС 2010'!C93</f>
        <v>94463.40000000001</v>
      </c>
      <c r="D52" s="4">
        <f>'ОДДС 2010'!C249</f>
        <v>94463.40000000001</v>
      </c>
      <c r="E52" s="4">
        <f t="shared" si="1"/>
        <v>0</v>
      </c>
    </row>
    <row r="53" spans="1:5" ht="15">
      <c r="A53" s="132"/>
      <c r="B53" s="90" t="str">
        <f>'ОДДС 2010'!B94</f>
        <v>энергетик</v>
      </c>
      <c r="C53" s="53">
        <f>'ОДДС 2010'!C94</f>
        <v>32512.95</v>
      </c>
      <c r="D53" s="4">
        <f>'ОДДС 2010'!C250</f>
        <v>32512.950000000004</v>
      </c>
      <c r="E53" s="4">
        <f t="shared" si="1"/>
        <v>0</v>
      </c>
    </row>
    <row r="54" spans="1:5" ht="15">
      <c r="A54" s="89">
        <f>'ОДДС 2010'!A95</f>
        <v>2</v>
      </c>
      <c r="B54" s="68" t="str">
        <f>'ОДДС 2010'!B95</f>
        <v>Поздышев В.Ф</v>
      </c>
      <c r="C54" s="13">
        <f>'ОДДС 2010'!C95</f>
        <v>3276.36</v>
      </c>
      <c r="D54" s="3">
        <f>'ОДДС 2010'!C251</f>
        <v>3276.36</v>
      </c>
      <c r="E54" s="3">
        <f t="shared" si="1"/>
        <v>0</v>
      </c>
    </row>
    <row r="55" spans="1:5" ht="26.25">
      <c r="A55" s="132"/>
      <c r="B55" s="90" t="str">
        <f>'ОДДС 2010'!B96</f>
        <v>замена замка входной двери помещения диспетчерской</v>
      </c>
      <c r="C55" s="53">
        <f>'ОДДС 2010'!C96</f>
        <v>655.5</v>
      </c>
      <c r="D55" s="4">
        <f>'ОДДС 2010'!C252</f>
        <v>655.5</v>
      </c>
      <c r="E55" s="4">
        <f t="shared" si="1"/>
        <v>0</v>
      </c>
    </row>
    <row r="56" spans="1:5" ht="39">
      <c r="A56" s="132"/>
      <c r="B56" s="90" t="str">
        <f>'ОДДС 2010'!B97</f>
        <v>изготовление и монтаж крышки вентиляционной шахты чердака 5-го подъезда</v>
      </c>
      <c r="C56" s="53">
        <f>'ОДДС 2010'!C97</f>
        <v>2620.86</v>
      </c>
      <c r="D56" s="4">
        <f>'ОДДС 2010'!C253</f>
        <v>2620.86</v>
      </c>
      <c r="E56" s="4">
        <f t="shared" si="1"/>
        <v>0</v>
      </c>
    </row>
    <row r="57" spans="1:5" ht="15">
      <c r="A57" s="89">
        <f>'ОДДС 2010'!A98</f>
        <v>3</v>
      </c>
      <c r="B57" s="68" t="str">
        <f>'ОДДС 2010'!B98</f>
        <v>Колосов В.П.</v>
      </c>
      <c r="C57" s="13">
        <f>'ОДДС 2010'!C98</f>
        <v>47172.06</v>
      </c>
      <c r="D57" s="3">
        <f>'ОДДС 2010'!C254</f>
        <v>47172.06</v>
      </c>
      <c r="E57" s="3">
        <f t="shared" si="1"/>
        <v>0</v>
      </c>
    </row>
    <row r="58" spans="1:5" ht="39">
      <c r="A58" s="132"/>
      <c r="B58" s="90" t="str">
        <f>'ОДДС 2010'!B99</f>
        <v>сварочные работы по замене запорной задвижки Балломакс Ду50, ремонт стояка ГВС в кв.158</v>
      </c>
      <c r="C58" s="53">
        <f>'ОДДС 2010'!C99</f>
        <v>2620.86</v>
      </c>
      <c r="D58" s="4">
        <f>'ОДДС 2010'!C255</f>
        <v>2620.86</v>
      </c>
      <c r="E58" s="4">
        <f t="shared" si="1"/>
        <v>0</v>
      </c>
    </row>
    <row r="59" spans="1:5" ht="51.75">
      <c r="A59" s="132"/>
      <c r="B59" s="90" t="str">
        <f>'ОДДС 2010'!B100</f>
        <v>сварочные работы по реконструкции узла коммерческого учета тепловой энергии ИТП 3-7 подъезд, замена расходомеров Метран</v>
      </c>
      <c r="C59" s="53">
        <f>'ОДДС 2010'!C100</f>
        <v>18344.88</v>
      </c>
      <c r="D59" s="4">
        <f>'ОДДС 2010'!C256</f>
        <v>18344.88</v>
      </c>
      <c r="E59" s="4">
        <f t="shared" si="1"/>
        <v>0</v>
      </c>
    </row>
    <row r="60" spans="1:5" ht="64.5">
      <c r="A60" s="132"/>
      <c r="B60" s="90" t="str">
        <f>'ОДДС 2010'!B101</f>
        <v>сварочные работы, установка запорной арматуры на 8-ми стояках подъездов, монтаж соединительных трубопроводов для циркуляции теплоносителя по малому кругу</v>
      </c>
      <c r="C60" s="53">
        <f>'ОДДС 2010'!C101</f>
        <v>26206.32</v>
      </c>
      <c r="D60" s="4">
        <f>'ОДДС 2010'!C257</f>
        <v>26206.32</v>
      </c>
      <c r="E60" s="4">
        <f t="shared" si="1"/>
        <v>0</v>
      </c>
    </row>
    <row r="61" spans="1:5" ht="15">
      <c r="A61" s="89">
        <f>'ОДДС 2010'!A102</f>
        <v>4</v>
      </c>
      <c r="B61" s="68" t="str">
        <f>'ОДДС 2010'!B102</f>
        <v>Музафаров Р.Ф.</v>
      </c>
      <c r="C61" s="13">
        <f>'ОДДС 2010'!C102</f>
        <v>25288.62</v>
      </c>
      <c r="D61" s="3">
        <f>'ОДДС 2010'!C258</f>
        <v>25288.62</v>
      </c>
      <c r="E61" s="3">
        <f t="shared" si="1"/>
        <v>0</v>
      </c>
    </row>
    <row r="62" spans="1:5" ht="39">
      <c r="A62" s="132"/>
      <c r="B62" s="90" t="str">
        <f>'ОДДС 2010'!B103</f>
        <v>програмирование таймера автоматических ворот гаража на автоматическое закрывание</v>
      </c>
      <c r="C62" s="53">
        <f>'ОДДС 2010'!C103</f>
        <v>1309.86</v>
      </c>
      <c r="D62" s="4">
        <f>'ОДДС 2010'!C259</f>
        <v>1309.86</v>
      </c>
      <c r="E62" s="4">
        <f t="shared" si="1"/>
        <v>0</v>
      </c>
    </row>
    <row r="63" spans="1:5" ht="39">
      <c r="A63" s="132"/>
      <c r="B63" s="90" t="str">
        <f>'ОДДС 2010'!B104</f>
        <v>замена рейки автоматических ворот гаража (включая стоимость материалов и запчастей)</v>
      </c>
      <c r="C63" s="53">
        <f>'ОДДС 2010'!C104</f>
        <v>7861.4400000000005</v>
      </c>
      <c r="D63" s="4">
        <f>'ОДДС 2010'!C260</f>
        <v>7861.4400000000005</v>
      </c>
      <c r="E63" s="4">
        <f t="shared" si="1"/>
        <v>0</v>
      </c>
    </row>
    <row r="64" spans="1:5" ht="39">
      <c r="A64" s="132"/>
      <c r="B64" s="90" t="str">
        <f>'ОДДС 2010'!B105</f>
        <v>замена пружины автоматических ворот гаража (включая стоимость материалов и запчастей)</v>
      </c>
      <c r="C64" s="53">
        <f>'ОДДС 2010'!C105</f>
        <v>16117.32</v>
      </c>
      <c r="D64" s="4">
        <f>'ОДДС 2010'!C261</f>
        <v>16117.32</v>
      </c>
      <c r="E64" s="4">
        <f t="shared" si="1"/>
        <v>0</v>
      </c>
    </row>
    <row r="65" spans="1:5" ht="15">
      <c r="A65" s="89">
        <f>'ОДДС 2010'!A106</f>
        <v>5</v>
      </c>
      <c r="B65" s="68" t="str">
        <f>'ОДДС 2010'!B106</f>
        <v>Речкин А.П.</v>
      </c>
      <c r="C65" s="13">
        <f>'ОДДС 2010'!C106</f>
        <v>2751.96</v>
      </c>
      <c r="D65" s="3">
        <f>'ОДДС 2010'!C262</f>
        <v>2751.96</v>
      </c>
      <c r="E65" s="3">
        <f t="shared" si="1"/>
        <v>0</v>
      </c>
    </row>
    <row r="66" spans="1:5" ht="26.25">
      <c r="A66" s="132"/>
      <c r="B66" s="90" t="str">
        <f>'ОДДС 2010'!B107</f>
        <v>замена напольной керамической плитки в подъездах № 7</v>
      </c>
      <c r="C66" s="53">
        <f>'ОДДС 2010'!C107</f>
        <v>2751.96</v>
      </c>
      <c r="D66" s="4">
        <f>'ОДДС 2010'!C263</f>
        <v>2751.96</v>
      </c>
      <c r="E66" s="4">
        <f t="shared" si="1"/>
        <v>0</v>
      </c>
    </row>
    <row r="67" spans="1:5" ht="15">
      <c r="A67" s="89">
        <f>'ОДДС 2010'!A108</f>
        <v>6</v>
      </c>
      <c r="B67" s="68" t="str">
        <f>'ОДДС 2010'!B108</f>
        <v>Трещева О.А.</v>
      </c>
      <c r="C67" s="13">
        <f>'ОДДС 2010'!C108</f>
        <v>25905.359999999997</v>
      </c>
      <c r="D67" s="3">
        <f>'ОДДС 2010'!C264</f>
        <v>25905.359999999997</v>
      </c>
      <c r="E67" s="3">
        <f t="shared" si="1"/>
        <v>0</v>
      </c>
    </row>
    <row r="68" spans="1:5" ht="26.25">
      <c r="A68" s="132"/>
      <c r="B68" s="90" t="str">
        <f>'ОДДС 2010'!B109</f>
        <v>дворник, уборщица (во время отпуска штатного сотрудника)</v>
      </c>
      <c r="C68" s="53">
        <f>'ОДДС 2010'!C109</f>
        <v>25905.359999999997</v>
      </c>
      <c r="D68" s="4">
        <f>'ОДДС 2010'!C265</f>
        <v>25905.359999999997</v>
      </c>
      <c r="E68" s="4">
        <f t="shared" si="1"/>
        <v>0</v>
      </c>
    </row>
    <row r="69" spans="1:5" ht="15">
      <c r="A69" s="89">
        <f>'ОДДС 2010'!A110</f>
        <v>7</v>
      </c>
      <c r="B69" s="68" t="str">
        <f>'ОДДС 2010'!B110</f>
        <v>Богданов М.И.</v>
      </c>
      <c r="C69" s="13">
        <f>'ОДДС 2010'!C110</f>
        <v>5896.08</v>
      </c>
      <c r="D69" s="3">
        <f>'ОДДС 2010'!C266</f>
        <v>5896.08</v>
      </c>
      <c r="E69" s="3">
        <f t="shared" si="1"/>
        <v>0</v>
      </c>
    </row>
    <row r="70" spans="1:5" ht="39">
      <c r="A70" s="132"/>
      <c r="B70" s="90" t="str">
        <f>'ОДДС 2010'!B111</f>
        <v>сварочные и монтажные работы по ремонту трубопроводов системы отопления и пожаротушения гаража</v>
      </c>
      <c r="C70" s="53">
        <f>'ОДДС 2010'!C111</f>
        <v>5896.08</v>
      </c>
      <c r="D70" s="4">
        <f>'ОДДС 2010'!C267</f>
        <v>5896.08</v>
      </c>
      <c r="E70" s="4">
        <f t="shared" si="1"/>
        <v>0</v>
      </c>
    </row>
    <row r="71" spans="1:5" ht="15">
      <c r="A71" s="89">
        <f>'ОДДС 2010'!A112</f>
        <v>8</v>
      </c>
      <c r="B71" s="68" t="str">
        <f>'ОДДС 2010'!B112</f>
        <v>Подкорытов В.А. </v>
      </c>
      <c r="C71" s="13">
        <f>'ОДДС 2010'!C112</f>
        <v>2620.86</v>
      </c>
      <c r="D71" s="3">
        <f>'ОДДС 2010'!C268</f>
        <v>2620.86</v>
      </c>
      <c r="E71" s="3">
        <f t="shared" si="1"/>
        <v>0</v>
      </c>
    </row>
    <row r="72" spans="1:5" ht="51.75">
      <c r="A72" s="132"/>
      <c r="B72" s="90" t="str">
        <f>'ОДДС 2010'!B113</f>
        <v>сварочные работы по ремонту металлических входных подъездных дверей и малых архитектурных форм детской площадки</v>
      </c>
      <c r="C72" s="53">
        <f>'ОДДС 2010'!C113</f>
        <v>2620.86</v>
      </c>
      <c r="D72" s="4">
        <f>'ОДДС 2010'!C269</f>
        <v>2620.86</v>
      </c>
      <c r="E72" s="4">
        <f t="shared" si="1"/>
        <v>0</v>
      </c>
    </row>
    <row r="73" spans="1:5" ht="15">
      <c r="A73" s="89">
        <f>'ОДДС 2010'!A114</f>
        <v>9</v>
      </c>
      <c r="B73" s="68" t="str">
        <f>'ОДДС 2010'!B114</f>
        <v>Истомина Е.Г.</v>
      </c>
      <c r="C73" s="13">
        <f>'ОДДС 2010'!C114</f>
        <v>25211.1</v>
      </c>
      <c r="D73" s="3">
        <f>'ОДДС 2010'!C270</f>
        <v>25211.1</v>
      </c>
      <c r="E73" s="3">
        <f t="shared" si="1"/>
        <v>0</v>
      </c>
    </row>
    <row r="74" spans="1:5" ht="26.25">
      <c r="A74" s="132"/>
      <c r="B74" s="90" t="str">
        <f>'ОДДС 2010'!B115</f>
        <v>окраска элементов детской площадки, заборов, прокос газонов</v>
      </c>
      <c r="C74" s="53">
        <f>'ОДДС 2010'!C115</f>
        <v>3930.7200000000003</v>
      </c>
      <c r="D74" s="4">
        <f>'ОДДС 2010'!C271</f>
        <v>3930.7200000000003</v>
      </c>
      <c r="E74" s="4">
        <f t="shared" si="1"/>
        <v>0</v>
      </c>
    </row>
    <row r="75" spans="1:5" ht="77.25">
      <c r="A75" s="132"/>
      <c r="B75" s="90" t="str">
        <f>'ОДДС 2010'!B116</f>
        <v>откапывание 100 саженцев кустарника и 5 саженцев деревьев в питомнике, подготовка ям, высадка 105 саженцев на газонах детской площадки, перенос 4,5 тонн чернозема</v>
      </c>
      <c r="C75" s="53">
        <f>'ОДДС 2010'!C116</f>
        <v>6551.58</v>
      </c>
      <c r="D75" s="4">
        <f>'ОДДС 2010'!C272</f>
        <v>6551.58</v>
      </c>
      <c r="E75" s="4">
        <f t="shared" si="1"/>
        <v>0</v>
      </c>
    </row>
    <row r="76" spans="1:5" ht="15">
      <c r="A76" s="132"/>
      <c r="B76" s="90" t="str">
        <f>'ОДДС 2010'!B117</f>
        <v>уборка мусора на кровле</v>
      </c>
      <c r="C76" s="53">
        <f>'ОДДС 2010'!C117</f>
        <v>2280</v>
      </c>
      <c r="D76" s="4">
        <f>'ОДДС 2010'!C273</f>
        <v>2280</v>
      </c>
      <c r="E76" s="4">
        <f t="shared" si="1"/>
        <v>0</v>
      </c>
    </row>
    <row r="77" spans="1:5" ht="15">
      <c r="A77" s="132"/>
      <c r="B77" s="90" t="str">
        <f>'ОДДС 2010'!B118</f>
        <v>прокос газонов</v>
      </c>
      <c r="C77" s="53">
        <f>'ОДДС 2010'!C118</f>
        <v>1965.3600000000001</v>
      </c>
      <c r="D77" s="4">
        <f>'ОДДС 2010'!C274</f>
        <v>1965.3600000000001</v>
      </c>
      <c r="E77" s="4">
        <f t="shared" si="1"/>
        <v>0</v>
      </c>
    </row>
    <row r="78" spans="1:5" ht="39">
      <c r="A78" s="132"/>
      <c r="B78" s="90" t="str">
        <f>'ОДДС 2010'!B119</f>
        <v>укладка холодного асфальта объемом 4,4 т на отмостку по периметру дома</v>
      </c>
      <c r="C78" s="53">
        <f>'ОДДС 2010'!C119</f>
        <v>10483.44</v>
      </c>
      <c r="D78" s="4">
        <f>'ОДДС 2010'!C275</f>
        <v>10483.44</v>
      </c>
      <c r="E78" s="4">
        <f t="shared" si="1"/>
        <v>0</v>
      </c>
    </row>
    <row r="79" spans="1:5" ht="15">
      <c r="A79" s="89">
        <f>'ОДДС 2010'!A120</f>
        <v>10</v>
      </c>
      <c r="B79" s="68" t="str">
        <f>'ОДДС 2010'!B120</f>
        <v>Двойнишников А.Г.</v>
      </c>
      <c r="C79" s="13">
        <f>'ОДДС 2010'!C120</f>
        <v>35806.32</v>
      </c>
      <c r="D79" s="3">
        <f>'ОДДС 2010'!C276</f>
        <v>35806.32</v>
      </c>
      <c r="E79" s="3">
        <f t="shared" si="1"/>
        <v>0</v>
      </c>
    </row>
    <row r="80" spans="1:5" ht="15">
      <c r="A80" s="132"/>
      <c r="B80" s="90" t="str">
        <f>'ОДДС 2010'!B121</f>
        <v>компенсация за авто</v>
      </c>
      <c r="C80" s="53">
        <f>'ОДДС 2010'!C121</f>
        <v>9600</v>
      </c>
      <c r="D80" s="4">
        <f>'ОДДС 2010'!C277</f>
        <v>9600</v>
      </c>
      <c r="E80" s="4">
        <f t="shared" si="1"/>
        <v>0</v>
      </c>
    </row>
    <row r="81" spans="1:5" ht="39">
      <c r="A81" s="132"/>
      <c r="B81" s="90" t="str">
        <f>'ОДДС 2010'!B122</f>
        <v>ремонтно-строительные и отделочные работы в помещении мастерской ТСЖ у 1-го подъезда</v>
      </c>
      <c r="C81" s="53">
        <f>'ОДДС 2010'!C122</f>
        <v>26206.32</v>
      </c>
      <c r="D81" s="4">
        <f>'ОДДС 2010'!C278</f>
        <v>26206.32</v>
      </c>
      <c r="E81" s="4">
        <f t="shared" si="1"/>
        <v>0</v>
      </c>
    </row>
    <row r="82" spans="1:5" ht="15">
      <c r="A82" s="89">
        <f>'ОДДС 2010'!A123</f>
        <v>11</v>
      </c>
      <c r="B82" s="68" t="str">
        <f>'ОДДС 2010'!B123</f>
        <v>Зеленый В.А.</v>
      </c>
      <c r="C82" s="13">
        <f>'ОДДС 2010'!C123</f>
        <v>35379.9</v>
      </c>
      <c r="D82" s="3">
        <f>'ОДДС 2010'!C279</f>
        <v>35379.9</v>
      </c>
      <c r="E82" s="3">
        <f t="shared" si="1"/>
        <v>0</v>
      </c>
    </row>
    <row r="83" spans="1:5" ht="64.5">
      <c r="A83" s="132"/>
      <c r="B83" s="90" t="str">
        <f>'ОДДС 2010'!B124</f>
        <v>замена трубопроводов ГВС Ду32 в подвале 3-7 подъездов, замена запорной арматуры, монтаж циркуляционного насоса, сварочные работы</v>
      </c>
      <c r="C83" s="53">
        <f>'ОДДС 2010'!C124</f>
        <v>32759.04</v>
      </c>
      <c r="D83" s="4">
        <f>'ОДДС 2010'!C280</f>
        <v>32759.04</v>
      </c>
      <c r="E83" s="4">
        <f t="shared" si="1"/>
        <v>0</v>
      </c>
    </row>
    <row r="84" spans="1:5" ht="39">
      <c r="A84" s="132"/>
      <c r="B84" s="90" t="str">
        <f>'ОДДС 2010'!B125</f>
        <v>гидропневматическая промывка системы теплопотребления подземного гаража</v>
      </c>
      <c r="C84" s="53">
        <f>'ОДДС 2010'!C125</f>
        <v>2620.86</v>
      </c>
      <c r="D84" s="4">
        <f>'ОДДС 2010'!C281</f>
        <v>2620.86</v>
      </c>
      <c r="E84" s="4">
        <f t="shared" si="1"/>
        <v>0</v>
      </c>
    </row>
    <row r="85" spans="1:5" ht="15">
      <c r="A85" s="89">
        <f>'ОДДС 2010'!A126</f>
        <v>12</v>
      </c>
      <c r="B85" s="68" t="str">
        <f>'ОДДС 2010'!B126</f>
        <v>Катаев А.В.</v>
      </c>
      <c r="C85" s="13">
        <f>'ОДДС 2010'!C126</f>
        <v>5241.72</v>
      </c>
      <c r="D85" s="3">
        <f>'ОДДС 2010'!C282</f>
        <v>5241.72</v>
      </c>
      <c r="E85" s="3">
        <f t="shared" si="1"/>
        <v>0</v>
      </c>
    </row>
    <row r="86" spans="1:5" ht="64.5">
      <c r="A86" s="132"/>
      <c r="B86" s="90" t="str">
        <f>'ОДДС 2010'!B127</f>
        <v>сварочные работы по ликвидации аварии на магистрали ГВС в районе 5-го подъезда, приваривание сгонов, установка спускных кранов на стояке ГВС</v>
      </c>
      <c r="C86" s="53">
        <f>'ОДДС 2010'!C127</f>
        <v>5241.72</v>
      </c>
      <c r="D86" s="4">
        <f>'ОДДС 2010'!C283</f>
        <v>5241.72</v>
      </c>
      <c r="E86" s="4">
        <f t="shared" si="1"/>
        <v>0</v>
      </c>
    </row>
    <row r="87" spans="1:5" ht="15">
      <c r="A87" s="89">
        <f>'ОДДС 2010'!A128</f>
        <v>13</v>
      </c>
      <c r="B87" s="68" t="str">
        <f>'ОДДС 2010'!B128</f>
        <v>Ленский Д.В.</v>
      </c>
      <c r="C87" s="13">
        <f>'ОДДС 2010'!C128</f>
        <v>26206.32</v>
      </c>
      <c r="D87" s="3">
        <f>'ОДДС 2010'!C284</f>
        <v>26206.32</v>
      </c>
      <c r="E87" s="3">
        <f t="shared" si="1"/>
        <v>0</v>
      </c>
    </row>
    <row r="88" spans="1:5" ht="39">
      <c r="A88" s="132"/>
      <c r="B88" s="90" t="str">
        <f>'ОДДС 2010'!B129</f>
        <v>замена общедомовых электросчетчиков 15 шт., трансформаторов тока 18 шт.</v>
      </c>
      <c r="C88" s="53">
        <f>'ОДДС 2010'!C129</f>
        <v>26206.32</v>
      </c>
      <c r="D88" s="4">
        <f>'ОДДС 2010'!C285</f>
        <v>26206.32</v>
      </c>
      <c r="E88" s="4">
        <f t="shared" si="1"/>
        <v>0</v>
      </c>
    </row>
    <row r="89" spans="1:5" ht="15">
      <c r="A89" s="89">
        <f>'ОДДС 2010'!A130</f>
        <v>14</v>
      </c>
      <c r="B89" s="68" t="str">
        <f>'ОДДС 2010'!B130</f>
        <v>Савинский В.В.</v>
      </c>
      <c r="C89" s="13">
        <f>'ОДДС 2010'!C130</f>
        <v>6555</v>
      </c>
      <c r="D89" s="3">
        <f>'ОДДС 2010'!C286</f>
        <v>6555</v>
      </c>
      <c r="E89" s="3">
        <f t="shared" si="1"/>
        <v>0</v>
      </c>
    </row>
    <row r="90" spans="1:5" ht="26.25">
      <c r="A90" s="132"/>
      <c r="B90" s="90" t="str">
        <f>'ОДДС 2010'!B131</f>
        <v>дополнительная теплоизоляция труб теплоснабжения в ИТП № 07,10</v>
      </c>
      <c r="C90" s="53">
        <f>'ОДДС 2010'!C131</f>
        <v>6555</v>
      </c>
      <c r="D90" s="4">
        <f>'ОДДС 2010'!C287</f>
        <v>6555</v>
      </c>
      <c r="E90" s="4">
        <f t="shared" si="1"/>
        <v>0</v>
      </c>
    </row>
    <row r="91" spans="1:5" ht="15">
      <c r="A91" s="89">
        <f>'ОДДС 2010'!A132</f>
        <v>15</v>
      </c>
      <c r="B91" s="68" t="str">
        <f>'ОДДС 2010'!B132</f>
        <v>ООО "РЭП "Горкоммунсервис"</v>
      </c>
      <c r="C91" s="13">
        <f>'ОДДС 2010'!C132</f>
        <v>668028</v>
      </c>
      <c r="D91" s="3">
        <f>'ОДДС 2010'!C288</f>
        <v>668028</v>
      </c>
      <c r="E91" s="3">
        <f t="shared" si="1"/>
        <v>0</v>
      </c>
    </row>
    <row r="92" spans="1:5" ht="26.25">
      <c r="A92" s="132"/>
      <c r="B92" s="90" t="str">
        <f>'ОДДС 2010'!B133</f>
        <v>комплекс услуг по сопровождению работы ТСЖ и обслуживанию дома</v>
      </c>
      <c r="C92" s="53">
        <f>'ОДДС 2010'!C133</f>
        <v>639028</v>
      </c>
      <c r="D92" s="4">
        <f>'ОДДС 2010'!C289</f>
        <v>639028</v>
      </c>
      <c r="E92" s="4">
        <f t="shared" si="1"/>
        <v>0</v>
      </c>
    </row>
    <row r="93" spans="1:5" ht="26.25">
      <c r="A93" s="132"/>
      <c r="B93" s="90" t="str">
        <f>'ОДДС 2010'!B134</f>
        <v>устройство вентиляционных окон в ИТП договор №23 от 29.11.2010</v>
      </c>
      <c r="C93" s="53">
        <f>'ОДДС 2010'!C134</f>
        <v>17000</v>
      </c>
      <c r="D93" s="4">
        <f>'ОДДС 2010'!C290</f>
        <v>17000</v>
      </c>
      <c r="E93" s="4">
        <f t="shared" si="1"/>
        <v>0</v>
      </c>
    </row>
    <row r="94" spans="1:5" ht="26.25">
      <c r="A94" s="132"/>
      <c r="B94" s="90" t="str">
        <f>'ОДДС 2010'!B135</f>
        <v>промывка теплообменников системы отопления дома и гаража</v>
      </c>
      <c r="C94" s="53">
        <f>'ОДДС 2010'!C135</f>
        <v>12000</v>
      </c>
      <c r="D94" s="4">
        <f>'ОДДС 2010'!C291</f>
        <v>12000</v>
      </c>
      <c r="E94" s="4">
        <f t="shared" si="1"/>
        <v>0</v>
      </c>
    </row>
    <row r="95" spans="1:5" ht="15">
      <c r="A95" s="89">
        <f>'ОДДС 2010'!A136</f>
        <v>16</v>
      </c>
      <c r="B95" s="68" t="str">
        <f>'ОДДС 2010'!B136</f>
        <v>ООО "Аспект"</v>
      </c>
      <c r="C95" s="13">
        <f>'ОДДС 2010'!C136</f>
        <v>13600</v>
      </c>
      <c r="D95" s="3">
        <f>'ОДДС 2010'!C292</f>
        <v>13600</v>
      </c>
      <c r="E95" s="3">
        <f t="shared" si="1"/>
        <v>0</v>
      </c>
    </row>
    <row r="96" spans="1:5" ht="26.25">
      <c r="A96" s="132"/>
      <c r="B96" s="90" t="str">
        <f>'ОДДС 2010'!B137</f>
        <v>обслуживание ИТП и приборов КИПиА</v>
      </c>
      <c r="C96" s="53">
        <f>'ОДДС 2010'!C137</f>
        <v>0</v>
      </c>
      <c r="D96" s="4">
        <f>'ОДДС 2010'!C293</f>
        <v>0</v>
      </c>
      <c r="E96" s="4">
        <f t="shared" si="1"/>
        <v>0</v>
      </c>
    </row>
    <row r="97" spans="1:5" ht="26.25">
      <c r="A97" s="132"/>
      <c r="B97" s="90" t="str">
        <f>'ОДДС 2010'!B138</f>
        <v>Промывка теплообменника ГВС 1,2 очереди</v>
      </c>
      <c r="C97" s="53">
        <f>'ОДДС 2010'!C138</f>
        <v>13600</v>
      </c>
      <c r="D97" s="4">
        <f>'ОДДС 2010'!C294</f>
        <v>13600</v>
      </c>
      <c r="E97" s="4">
        <f t="shared" si="1"/>
        <v>0</v>
      </c>
    </row>
    <row r="98" spans="1:5" ht="15">
      <c r="A98" s="132"/>
      <c r="B98" s="90" t="str">
        <f>'ОДДС 2010'!B139</f>
        <v>ремонт насосов ХВС 3 шт.</v>
      </c>
      <c r="C98" s="53">
        <f>'ОДДС 2010'!C139</f>
        <v>0</v>
      </c>
      <c r="D98" s="4">
        <f>'ОДДС 2010'!C295</f>
        <v>0</v>
      </c>
      <c r="E98" s="4">
        <f t="shared" si="1"/>
        <v>0</v>
      </c>
    </row>
    <row r="99" spans="1:5" ht="15">
      <c r="A99" s="89">
        <f>'ОДДС 2010'!A140</f>
        <v>17</v>
      </c>
      <c r="B99" s="68" t="str">
        <f>'ОДДС 2010'!B140</f>
        <v>ООО "Интерэнерго"</v>
      </c>
      <c r="C99" s="13">
        <f>'ОДДС 2010'!C140</f>
        <v>349293.65</v>
      </c>
      <c r="D99" s="3">
        <f>'ОДДС 2010'!C296</f>
        <v>349593.65</v>
      </c>
      <c r="E99" s="3"/>
    </row>
    <row r="100" spans="1:5" ht="39">
      <c r="A100" s="132"/>
      <c r="B100" s="90" t="str">
        <f>'ОДДС 2010'!B141</f>
        <v>обслуживание системы сбора показаний индивидуальных приборов учета</v>
      </c>
      <c r="C100" s="53">
        <f>'ОДДС 2010'!C141</f>
        <v>257200</v>
      </c>
      <c r="D100" s="4">
        <f>'ОДДС 2010'!C297</f>
        <v>257500</v>
      </c>
      <c r="E100" s="4"/>
    </row>
    <row r="101" spans="1:5" ht="26.25">
      <c r="A101" s="132"/>
      <c r="B101" s="90" t="str">
        <f>'ОДДС 2010'!B142</f>
        <v>обслуживание общедом. узлов учета теплоэнергии</v>
      </c>
      <c r="C101" s="53">
        <f>'ОДДС 2010'!C142</f>
        <v>52200</v>
      </c>
      <c r="D101" s="4">
        <f>'ОДДС 2010'!C298</f>
        <v>52200</v>
      </c>
      <c r="E101" s="4">
        <f t="shared" si="1"/>
        <v>0</v>
      </c>
    </row>
    <row r="102" spans="1:5" ht="26.25">
      <c r="A102" s="132"/>
      <c r="B102" s="90" t="str">
        <f>'ОДДС 2010'!B143</f>
        <v>обслуживание ИТП и приборов КИПиА</v>
      </c>
      <c r="C102" s="53">
        <f>'ОДДС 2010'!C143</f>
        <v>0</v>
      </c>
      <c r="D102" s="4">
        <f>'ОДДС 2010'!C299</f>
        <v>0</v>
      </c>
      <c r="E102" s="4">
        <f t="shared" si="1"/>
        <v>0</v>
      </c>
    </row>
    <row r="103" spans="1:5" ht="26.25">
      <c r="A103" s="132"/>
      <c r="B103" s="90" t="str">
        <f>'ОДДС 2010'!B144</f>
        <v>восстановление общедом. узлов учета теплоэнергии </v>
      </c>
      <c r="C103" s="53">
        <f>'ОДДС 2010'!C144</f>
        <v>0</v>
      </c>
      <c r="D103" s="4">
        <f>'ОДДС 2010'!C300</f>
        <v>0</v>
      </c>
      <c r="E103" s="4">
        <f t="shared" si="1"/>
        <v>0</v>
      </c>
    </row>
    <row r="104" spans="1:5" ht="26.25">
      <c r="A104" s="132"/>
      <c r="B104" s="90" t="str">
        <f>'ОДДС 2010'!B145</f>
        <v>2.3.5. Поверка общедомовых приборов учета ТЭКОН, датчиков</v>
      </c>
      <c r="C104" s="53">
        <f>'ОДДС 2010'!C145</f>
        <v>9893.65</v>
      </c>
      <c r="D104" s="4">
        <f>'ОДДС 2010'!C301</f>
        <v>9893.65</v>
      </c>
      <c r="E104" s="4">
        <f t="shared" si="1"/>
        <v>0</v>
      </c>
    </row>
    <row r="105" spans="1:5" ht="26.25">
      <c r="A105" s="132"/>
      <c r="B105" s="108" t="str">
        <f>'ОДДС 2010'!B146</f>
        <v>Выполнение работ по договору № 26-ВПУ от 27.04.2010</v>
      </c>
      <c r="C105" s="53">
        <f>'ОДДС 2010'!C146</f>
        <v>30000</v>
      </c>
      <c r="D105" s="4">
        <f>'ОДДС 2010'!C302</f>
        <v>30000</v>
      </c>
      <c r="E105" s="4">
        <f t="shared" si="1"/>
        <v>0</v>
      </c>
    </row>
    <row r="106" spans="1:5" ht="15">
      <c r="A106" s="89">
        <f>'ОДДС 2010'!A147</f>
        <v>18</v>
      </c>
      <c r="B106" s="68" t="str">
        <f>'ОДДС 2010'!B147</f>
        <v>ООО "Лифтмонтаж-1"</v>
      </c>
      <c r="C106" s="13">
        <f>'ОДДС 2010'!C147</f>
        <v>307571.86999999994</v>
      </c>
      <c r="D106" s="3">
        <f>'ОДДС 2010'!C303</f>
        <v>304385.45999999996</v>
      </c>
      <c r="E106" s="3">
        <f t="shared" si="1"/>
        <v>3186.4099999999744</v>
      </c>
    </row>
    <row r="107" spans="1:5" ht="15">
      <c r="A107" s="132"/>
      <c r="B107" s="87" t="str">
        <f>'ОДДС 2010'!B148</f>
        <v>техобслуживание и ремонт лифтов</v>
      </c>
      <c r="C107" s="53">
        <f>'ОДДС 2010'!C148</f>
        <v>283161.7099999999</v>
      </c>
      <c r="D107" s="4">
        <f>'ОДДС 2010'!C304</f>
        <v>279375.29999999993</v>
      </c>
      <c r="E107" s="4">
        <f t="shared" si="1"/>
        <v>3786.4099999999744</v>
      </c>
    </row>
    <row r="108" spans="1:5" ht="26.25">
      <c r="A108" s="132"/>
      <c r="B108" s="90" t="str">
        <f>'ОДДС 2010'!B149</f>
        <v>Замена 3-х тяговых канатов лифта г/п 400кг</v>
      </c>
      <c r="C108" s="53">
        <f>'ОДДС 2010'!C149</f>
        <v>24410.16</v>
      </c>
      <c r="D108" s="4">
        <f>'ОДДС 2010'!C305</f>
        <v>25010.16</v>
      </c>
      <c r="E108" s="4"/>
    </row>
    <row r="109" spans="1:5" ht="51.75">
      <c r="A109" s="89">
        <f>'ОДДС 2010'!A150</f>
        <v>19</v>
      </c>
      <c r="B109" s="68" t="str">
        <f>'ОДДС 2010'!B150</f>
        <v>ООО "Средураллифт" техобслуживание ЛДСС (лифтовой диспетчерской сигнальной связи)</v>
      </c>
      <c r="C109" s="13">
        <f>'ОДДС 2010'!C150</f>
        <v>5966.32</v>
      </c>
      <c r="D109" s="3">
        <f>'ОДДС 2010'!C306</f>
        <v>11932.64</v>
      </c>
      <c r="E109" s="3"/>
    </row>
    <row r="110" spans="1:5" ht="39">
      <c r="A110" s="89">
        <f>'ОДДС 2010'!A151</f>
        <v>20</v>
      </c>
      <c r="B110" s="68" t="str">
        <f>'ОДДС 2010'!B151</f>
        <v>ООО "УИЦ "Союзлифтмонтаж" (техосвидетельствование лифтов)</v>
      </c>
      <c r="C110" s="13">
        <f>'ОДДС 2010'!C151</f>
        <v>13600</v>
      </c>
      <c r="D110" s="3">
        <f>'ОДДС 2010'!C307</f>
        <v>13600</v>
      </c>
      <c r="E110" s="3">
        <f t="shared" si="1"/>
        <v>0</v>
      </c>
    </row>
    <row r="111" spans="1:5" ht="15">
      <c r="A111" s="89">
        <f>'ОДДС 2010'!A152</f>
        <v>22</v>
      </c>
      <c r="B111" s="68" t="str">
        <f>'ОДДС 2010'!B152</f>
        <v>ООО "СВД-Инжиниринг" </v>
      </c>
      <c r="C111" s="13">
        <f>'ОДДС 2010'!C152</f>
        <v>59080</v>
      </c>
      <c r="D111" s="3">
        <f>'ОДДС 2010'!C308</f>
        <v>59080</v>
      </c>
      <c r="E111" s="3">
        <f t="shared" si="1"/>
        <v>0</v>
      </c>
    </row>
    <row r="112" spans="1:5" ht="15">
      <c r="A112" s="132"/>
      <c r="B112" s="90" t="str">
        <f>'ОДДС 2010'!B153</f>
        <v>ремонт и обслуживание домофонов</v>
      </c>
      <c r="C112" s="53">
        <f>'ОДДС 2010'!C153</f>
        <v>57960</v>
      </c>
      <c r="D112" s="4">
        <f>'ОДДС 2010'!C309</f>
        <v>57960</v>
      </c>
      <c r="E112" s="4">
        <f aca="true" t="shared" si="2" ref="E112:E175">C112-D112</f>
        <v>0</v>
      </c>
    </row>
    <row r="113" spans="1:5" ht="15">
      <c r="A113" s="132"/>
      <c r="B113" s="90" t="str">
        <f>'ОДДС 2010'!B154</f>
        <v>монтажные работы</v>
      </c>
      <c r="C113" s="53">
        <f>'ОДДС 2010'!C154</f>
        <v>1120</v>
      </c>
      <c r="D113" s="4">
        <f>'ОДДС 2010'!C310</f>
        <v>1120</v>
      </c>
      <c r="E113" s="4">
        <f t="shared" si="2"/>
        <v>0</v>
      </c>
    </row>
    <row r="114" spans="1:5" ht="26.25">
      <c r="A114" s="89">
        <f>'ОДДС 2010'!A155</f>
        <v>23</v>
      </c>
      <c r="B114" s="68" t="str">
        <f>'ОДДС 2010'!B155</f>
        <v>УЖКХ Верх-Исетского района (паспортное обслуживание)</v>
      </c>
      <c r="C114" s="13">
        <f>'ОДДС 2010'!C155</f>
        <v>35409.840000000004</v>
      </c>
      <c r="D114" s="3">
        <f>'ОДДС 2010'!C311</f>
        <v>32459.02</v>
      </c>
      <c r="E114" s="3">
        <f t="shared" si="2"/>
        <v>2950.8200000000033</v>
      </c>
    </row>
    <row r="115" spans="1:5" ht="26.25">
      <c r="A115" s="89">
        <f>'ОДДС 2010'!A156</f>
        <v>24</v>
      </c>
      <c r="B115" s="68" t="str">
        <f>'ОДДС 2010'!B156</f>
        <v>ОАО "Русь-Банк-Урал" расчетно-кассовое обслуживание</v>
      </c>
      <c r="C115" s="13">
        <f>'ОДДС 2010'!C156</f>
        <v>15658.51</v>
      </c>
      <c r="D115" s="3">
        <f>'ОДДС 2010'!C312</f>
        <v>15658.51</v>
      </c>
      <c r="E115" s="3">
        <f t="shared" si="2"/>
        <v>0</v>
      </c>
    </row>
    <row r="116" spans="1:5" ht="15">
      <c r="A116" s="132"/>
      <c r="B116" s="90" t="str">
        <f>'ОДДС 2010'!B157</f>
        <v>расчетное обслуживание</v>
      </c>
      <c r="C116" s="53">
        <f>'ОДДС 2010'!C157</f>
        <v>15658.51</v>
      </c>
      <c r="D116" s="4">
        <f>'ОДДС 2010'!C313</f>
        <v>15658.51</v>
      </c>
      <c r="E116" s="4">
        <f t="shared" si="2"/>
        <v>0</v>
      </c>
    </row>
    <row r="117" spans="1:5" ht="15">
      <c r="A117" s="89">
        <f>'ОДДС 2010'!A158</f>
        <v>25</v>
      </c>
      <c r="B117" s="68" t="str">
        <f>'ОДДС 2010'!B158</f>
        <v>ООО "СТЭМ"</v>
      </c>
      <c r="C117" s="13">
        <f>'ОДДС 2010'!C158</f>
        <v>122501.94</v>
      </c>
      <c r="D117" s="3">
        <f>'ОДДС 2010'!C314</f>
        <v>122501.94</v>
      </c>
      <c r="E117" s="3">
        <f t="shared" si="2"/>
        <v>0</v>
      </c>
    </row>
    <row r="118" spans="1:5" ht="26.25">
      <c r="A118" s="132"/>
      <c r="B118" s="90" t="str">
        <f>'ОДДС 2010'!B159</f>
        <v>обследование систем противодымной защиты</v>
      </c>
      <c r="C118" s="53">
        <f>'ОДДС 2010'!C159</f>
        <v>8600</v>
      </c>
      <c r="D118" s="4">
        <f>'ОДДС 2010'!C315</f>
        <v>8600</v>
      </c>
      <c r="E118" s="4">
        <f t="shared" si="2"/>
        <v>0</v>
      </c>
    </row>
    <row r="119" spans="1:5" ht="15">
      <c r="A119" s="132"/>
      <c r="B119" s="90" t="str">
        <f>'ОДДС 2010'!B160</f>
        <v>Ревизия и замена контакторов АВР</v>
      </c>
      <c r="C119" s="53">
        <f>'ОДДС 2010'!C160</f>
        <v>6000</v>
      </c>
      <c r="D119" s="4">
        <f>'ОДДС 2010'!C316</f>
        <v>6000</v>
      </c>
      <c r="E119" s="4">
        <f t="shared" si="2"/>
        <v>0</v>
      </c>
    </row>
    <row r="120" spans="1:5" ht="64.5">
      <c r="A120" s="132"/>
      <c r="B120" s="90" t="str">
        <f>'ОДДС 2010'!B161</f>
        <v>Выполнены работы  по ремонту систем пожарной сигнализации (ПС) подземного гаража по ул. Татищева 92 в г.Екатеринбурге и ввод систем в режим технического обслуживания</v>
      </c>
      <c r="C120" s="53">
        <f>'ОДДС 2010'!C161</f>
        <v>33229.69</v>
      </c>
      <c r="D120" s="4">
        <f>'ОДДС 2010'!C317</f>
        <v>33229.69</v>
      </c>
      <c r="E120" s="4">
        <f t="shared" si="2"/>
        <v>0</v>
      </c>
    </row>
    <row r="121" spans="1:5" ht="51.75">
      <c r="A121" s="132"/>
      <c r="B121" s="90" t="str">
        <f>'ОДДС 2010'!B162</f>
        <v>Техническое обслуживание автоматической системе противодымной защиты (АСПДЗ) по адресу: ул. Татищева,92 подъезд 2</v>
      </c>
      <c r="C121" s="53">
        <f>'ОДДС 2010'!C162</f>
        <v>4400</v>
      </c>
      <c r="D121" s="4">
        <f>'ОДДС 2010'!C318</f>
        <v>4400</v>
      </c>
      <c r="E121" s="4">
        <f t="shared" si="2"/>
        <v>0</v>
      </c>
    </row>
    <row r="122" spans="1:5" ht="102.75">
      <c r="A122" s="132"/>
      <c r="B122" s="90" t="str">
        <f>'ОДДС 2010'!B163</f>
        <v>Восстановительные работы на автоматической системе противодымной защиты (АСПДЗ) по адресу: ул. Татищева,92 подъезд 2 г.Екатеринбург и ввод системы в режим технического обслуживания по договору подряда № 172/1 от 09.07.2010</v>
      </c>
      <c r="C122" s="53">
        <f>'ОДДС 2010'!C163</f>
        <v>70272.25</v>
      </c>
      <c r="D122" s="4">
        <f>'ОДДС 2010'!C319</f>
        <v>70272.25</v>
      </c>
      <c r="E122" s="4">
        <f t="shared" si="2"/>
        <v>0</v>
      </c>
    </row>
    <row r="123" spans="1:5" ht="39">
      <c r="A123" s="89">
        <f>'ОДДС 2010'!A164</f>
        <v>26</v>
      </c>
      <c r="B123" s="68" t="str">
        <f>'ОДДС 2010'!B164</f>
        <v>ООО "Единый расчетный центр" услуги оператора по договору о приеме платежей</v>
      </c>
      <c r="C123" s="13">
        <f>'ОДДС 2010'!C164</f>
        <v>1200</v>
      </c>
      <c r="D123" s="3">
        <f>'ОДДС 2010'!C320</f>
        <v>1000</v>
      </c>
      <c r="E123" s="3">
        <f t="shared" si="2"/>
        <v>200</v>
      </c>
    </row>
    <row r="124" spans="1:5" ht="51.75">
      <c r="A124" s="89">
        <f>'ОДДС 2010'!A165</f>
        <v>27</v>
      </c>
      <c r="B124" s="68" t="str">
        <f>'ОДДС 2010'!B165</f>
        <v>ЗАО "Городская дезинфекционная станция" (санитарная обработка подвалов от грызунов)</v>
      </c>
      <c r="C124" s="13">
        <f>'ОДДС 2010'!C165</f>
        <v>7528.56</v>
      </c>
      <c r="D124" s="3">
        <f>'ОДДС 2010'!C321</f>
        <v>6901.18</v>
      </c>
      <c r="E124" s="3">
        <f t="shared" si="2"/>
        <v>627.3800000000001</v>
      </c>
    </row>
    <row r="125" spans="1:5" ht="51.75">
      <c r="A125" s="89">
        <f>'ОДДС 2010'!A166</f>
        <v>28</v>
      </c>
      <c r="B125" s="68" t="str">
        <f>'ОДДС 2010'!B166</f>
        <v>ООО "Екатеринбургский асфальтовый завод" (Асфальтобетонная смесь холодная ТИП "ВХ")</v>
      </c>
      <c r="C125" s="13">
        <f>'ОДДС 2010'!C166</f>
        <v>8316</v>
      </c>
      <c r="D125" s="3">
        <f>'ОДДС 2010'!C322</f>
        <v>8316</v>
      </c>
      <c r="E125" s="3">
        <f t="shared" si="2"/>
        <v>0</v>
      </c>
    </row>
    <row r="126" spans="1:5" ht="39">
      <c r="A126" s="89">
        <f>'ОДДС 2010'!A167</f>
        <v>29</v>
      </c>
      <c r="B126" s="68" t="str">
        <f>'ОДДС 2010'!B167</f>
        <v>ООО "Амеркон" (Асфальтобетонная смесь холодная ТИП "ВХ")</v>
      </c>
      <c r="C126" s="13">
        <f>'ОДДС 2010'!C167</f>
        <v>9600</v>
      </c>
      <c r="D126" s="3">
        <f>'ОДДС 2010'!C323</f>
        <v>9600</v>
      </c>
      <c r="E126" s="3">
        <f t="shared" si="2"/>
        <v>0</v>
      </c>
    </row>
    <row r="127" spans="1:5" ht="39">
      <c r="A127" s="89">
        <f>'ОДДС 2010'!A168</f>
        <v>30</v>
      </c>
      <c r="B127" s="68" t="str">
        <f>'ОДДС 2010'!B168</f>
        <v>Филиал ООО СК "Цюрих. Ритейл" в г. Екатеринбурге (страхование лифтов)</v>
      </c>
      <c r="C127" s="13">
        <f>'ОДДС 2010'!C168</f>
        <v>0</v>
      </c>
      <c r="D127" s="3">
        <f>'ОДДС 2010'!C324</f>
        <v>0</v>
      </c>
      <c r="E127" s="3">
        <f t="shared" si="2"/>
        <v>0</v>
      </c>
    </row>
    <row r="128" spans="1:5" ht="26.25">
      <c r="A128" s="89">
        <f>'ОДДС 2010'!A169</f>
        <v>31</v>
      </c>
      <c r="B128" s="68" t="str">
        <f>'ОДДС 2010'!B169</f>
        <v>ООО "Центр Бонус" обновление и сопровождение программ</v>
      </c>
      <c r="C128" s="13">
        <f>'ОДДС 2010'!C169</f>
        <v>9685</v>
      </c>
      <c r="D128" s="3">
        <f>'ОДДС 2010'!C325</f>
        <v>12685</v>
      </c>
      <c r="E128" s="3"/>
    </row>
    <row r="129" spans="1:5" ht="26.25">
      <c r="A129" s="132"/>
      <c r="B129" s="90" t="str">
        <f>'ОДДС 2010'!B170</f>
        <v>Обновление программы "Расчет кварплаты " 212 л/сч </v>
      </c>
      <c r="C129" s="53">
        <f>'ОДДС 2010'!C170</f>
        <v>4930</v>
      </c>
      <c r="D129" s="4">
        <f>'ОДДС 2010'!C326</f>
        <v>4930</v>
      </c>
      <c r="E129" s="4">
        <f t="shared" si="2"/>
        <v>0</v>
      </c>
    </row>
    <row r="130" spans="1:5" ht="26.25">
      <c r="A130" s="132"/>
      <c r="B130" s="90" t="str">
        <f>'ОДДС 2010'!B171</f>
        <v>покупка ПО "Арча" -Учет доходов физических лиц"</v>
      </c>
      <c r="C130" s="53">
        <f>'ОДДС 2010'!C171</f>
        <v>2800</v>
      </c>
      <c r="D130" s="4">
        <f>'ОДДС 2010'!C327</f>
        <v>5800</v>
      </c>
      <c r="E130" s="4"/>
    </row>
    <row r="131" spans="1:5" ht="26.25">
      <c r="A131" s="132"/>
      <c r="B131" s="90" t="str">
        <f>'ОДДС 2010'!B172</f>
        <v>покупка ПО "Учет расчетов и денежных средств" Альфа</v>
      </c>
      <c r="C131" s="53">
        <f>'ОДДС 2010'!C172</f>
        <v>1955</v>
      </c>
      <c r="D131" s="4">
        <f>'ОДДС 2010'!C328</f>
        <v>1955</v>
      </c>
      <c r="E131" s="4">
        <f t="shared" si="2"/>
        <v>0</v>
      </c>
    </row>
    <row r="132" spans="1:5" ht="39">
      <c r="A132" s="89">
        <f>'ОДДС 2010'!A173</f>
        <v>32</v>
      </c>
      <c r="B132" s="68" t="str">
        <f>'ОДДС 2010'!B173</f>
        <v>ЕМУП БЮРО ТЕХНИЧЕСКОЙ ИНВЕНТАРИЗАЦИИ (Копия технического паспорта здания)</v>
      </c>
      <c r="C132" s="13">
        <f>'ОДДС 2010'!C173</f>
        <v>1724.28</v>
      </c>
      <c r="D132" s="3">
        <f>'ОДДС 2010'!C329</f>
        <v>1724.28</v>
      </c>
      <c r="E132" s="3">
        <f t="shared" si="2"/>
        <v>0</v>
      </c>
    </row>
    <row r="133" spans="1:5" ht="26.25">
      <c r="A133" s="89">
        <f>'ОДДС 2010'!A174</f>
        <v>33</v>
      </c>
      <c r="B133" s="68" t="str">
        <f>'ОДДС 2010'!B174</f>
        <v>ООО "Трубопроводная компания "ВАГАНТ" (сантехматериалы)</v>
      </c>
      <c r="C133" s="13">
        <f>'ОДДС 2010'!C174</f>
        <v>726</v>
      </c>
      <c r="D133" s="3">
        <f>'ОДДС 2010'!C330</f>
        <v>726</v>
      </c>
      <c r="E133" s="3">
        <f t="shared" si="2"/>
        <v>0</v>
      </c>
    </row>
    <row r="134" spans="1:5" ht="15">
      <c r="A134" s="89">
        <f>'ОДДС 2010'!A175</f>
        <v>34</v>
      </c>
      <c r="B134" s="68" t="str">
        <f>'ОДДС 2010'!B175</f>
        <v>МТС (сотовая связь)</v>
      </c>
      <c r="C134" s="13">
        <f>'ОДДС 2010'!C175</f>
        <v>4975.58</v>
      </c>
      <c r="D134" s="3">
        <f>'ОДДС 2010'!C331</f>
        <v>4291.92</v>
      </c>
      <c r="E134" s="3">
        <f t="shared" si="2"/>
        <v>683.6599999999999</v>
      </c>
    </row>
    <row r="135" spans="1:5" ht="26.25">
      <c r="A135" s="89">
        <f>'ОДДС 2010'!A176</f>
        <v>35</v>
      </c>
      <c r="B135" s="68" t="str">
        <f>'ОДДС 2010'!B176</f>
        <v>ООО "Химтес-Электро" электротовары, лампы</v>
      </c>
      <c r="C135" s="13">
        <f>'ОДДС 2010'!C176</f>
        <v>1673.28</v>
      </c>
      <c r="D135" s="3">
        <f>'ОДДС 2010'!C332</f>
        <v>1673.28</v>
      </c>
      <c r="E135" s="3">
        <f t="shared" si="2"/>
        <v>0</v>
      </c>
    </row>
    <row r="136" spans="1:5" ht="26.25">
      <c r="A136" s="89">
        <f>'ОДДС 2010'!A177</f>
        <v>36</v>
      </c>
      <c r="B136" s="68" t="str">
        <f>'ОДДС 2010'!B177</f>
        <v>ООО "СтройАрсенал" (инструмент)</v>
      </c>
      <c r="C136" s="13">
        <f>'ОДДС 2010'!C177</f>
        <v>6977</v>
      </c>
      <c r="D136" s="3">
        <f>'ОДДС 2010'!C333</f>
        <v>6977</v>
      </c>
      <c r="E136" s="3">
        <f t="shared" si="2"/>
        <v>0</v>
      </c>
    </row>
    <row r="137" spans="1:5" ht="15">
      <c r="A137" s="132"/>
      <c r="B137" s="90" t="str">
        <f>'ОДДС 2010'!B178</f>
        <v>инструмент</v>
      </c>
      <c r="C137" s="53">
        <f>'ОДДС 2010'!C178</f>
        <v>3604</v>
      </c>
      <c r="D137" s="4">
        <f>'ОДДС 2010'!C334</f>
        <v>3604</v>
      </c>
      <c r="E137" s="4">
        <f t="shared" si="2"/>
        <v>0</v>
      </c>
    </row>
    <row r="138" spans="1:5" ht="39">
      <c r="A138" s="132"/>
      <c r="B138" s="90" t="str">
        <f>'ОДДС 2010'!B179</f>
        <v>стройматериалы для ремонта помещения мастерской ТСЖ у 1-го подъезда</v>
      </c>
      <c r="C138" s="53">
        <f>'ОДДС 2010'!C179</f>
        <v>3373</v>
      </c>
      <c r="D138" s="4">
        <f>'ОДДС 2010'!C335</f>
        <v>3373</v>
      </c>
      <c r="E138" s="4">
        <f t="shared" si="2"/>
        <v>0</v>
      </c>
    </row>
    <row r="139" spans="1:5" ht="26.25">
      <c r="A139" s="89">
        <f>'ОДДС 2010'!A180</f>
        <v>37</v>
      </c>
      <c r="B139" s="68" t="str">
        <f>'ОДДС 2010'!B180</f>
        <v>ООО "Компания "Экосистема" (Вывоз ТБО)</v>
      </c>
      <c r="C139" s="13">
        <f>'ОДДС 2010'!C180</f>
        <v>22728.489999999998</v>
      </c>
      <c r="D139" s="3">
        <f>'ОДДС 2010'!C336</f>
        <v>5682.12</v>
      </c>
      <c r="E139" s="3">
        <f t="shared" si="2"/>
        <v>17046.37</v>
      </c>
    </row>
    <row r="140" spans="1:5" ht="26.25">
      <c r="A140" s="89">
        <f>'ОДДС 2010'!A181</f>
        <v>38</v>
      </c>
      <c r="B140" s="68" t="str">
        <f>'ОДДС 2010'!B181</f>
        <v>ООО "Ариос" (световой короб и его монтаж)</v>
      </c>
      <c r="C140" s="13">
        <f>'ОДДС 2010'!C181</f>
        <v>3490</v>
      </c>
      <c r="D140" s="3">
        <f>'ОДДС 2010'!C337</f>
        <v>3490</v>
      </c>
      <c r="E140" s="3">
        <f t="shared" si="2"/>
        <v>0</v>
      </c>
    </row>
    <row r="141" spans="1:5" ht="26.25">
      <c r="A141" s="89">
        <f>'ОДДС 2010'!A182</f>
        <v>39</v>
      </c>
      <c r="B141" s="68" t="str">
        <f>'ОДДС 2010'!B182</f>
        <v>ЗАО "УЦСК"Сантехкомплект-Урал" сантехматериалы</v>
      </c>
      <c r="C141" s="13">
        <f>'ОДДС 2010'!C182</f>
        <v>49742.21</v>
      </c>
      <c r="D141" s="3">
        <f>'ОДДС 2010'!C338</f>
        <v>49795.21</v>
      </c>
      <c r="E141" s="3"/>
    </row>
    <row r="142" spans="1:5" ht="15">
      <c r="A142" s="132"/>
      <c r="B142" s="90" t="str">
        <f>'ОДДС 2010'!B183</f>
        <v>сантехматериалы</v>
      </c>
      <c r="C142" s="53">
        <f>'ОДДС 2010'!C183</f>
        <v>35945.21</v>
      </c>
      <c r="D142" s="4">
        <f>'ОДДС 2010'!C339</f>
        <v>35998.21</v>
      </c>
      <c r="E142" s="4"/>
    </row>
    <row r="143" spans="1:5" ht="15">
      <c r="A143" s="132"/>
      <c r="B143" s="90" t="str">
        <f>'ОДДС 2010'!B184</f>
        <v>пожарное оборудование</v>
      </c>
      <c r="C143" s="53">
        <f>'ОДДС 2010'!C184</f>
        <v>13797</v>
      </c>
      <c r="D143" s="4">
        <f>'ОДДС 2010'!C340</f>
        <v>13797</v>
      </c>
      <c r="E143" s="4">
        <f t="shared" si="2"/>
        <v>0</v>
      </c>
    </row>
    <row r="144" spans="1:5" ht="26.25">
      <c r="A144" s="89">
        <f>'ОДДС 2010'!A185</f>
        <v>40</v>
      </c>
      <c r="B144" s="68" t="str">
        <f>'ОДДС 2010'!B185</f>
        <v>Договора поручения Кольчурина О.Г.</v>
      </c>
      <c r="C144" s="13">
        <f>'ОДДС 2010'!C185</f>
        <v>10346</v>
      </c>
      <c r="D144" s="3">
        <f>'ОДДС 2010'!C341</f>
        <v>10346</v>
      </c>
      <c r="E144" s="3">
        <f t="shared" si="2"/>
        <v>0</v>
      </c>
    </row>
    <row r="145" spans="1:5" ht="26.25">
      <c r="A145" s="89">
        <f>'ОДДС 2010'!A186</f>
        <v>41</v>
      </c>
      <c r="B145" s="68" t="str">
        <f>'ОДДС 2010'!B186</f>
        <v>ИП Чигвинцев С.А. уборка снега техникой</v>
      </c>
      <c r="C145" s="13">
        <f>'ОДДС 2010'!C186</f>
        <v>30450</v>
      </c>
      <c r="D145" s="3">
        <f>'ОДДС 2010'!C342</f>
        <v>30450</v>
      </c>
      <c r="E145" s="3">
        <f t="shared" si="2"/>
        <v>0</v>
      </c>
    </row>
    <row r="146" spans="1:5" ht="39">
      <c r="A146" s="89">
        <f>'ОДДС 2010'!A187</f>
        <v>42</v>
      </c>
      <c r="B146" s="68" t="str">
        <f>'ОДДС 2010'!B187</f>
        <v>ООО "ПРОМАЛЬПИНДУСТРИЯ" (Очистка площади кровли от снега)</v>
      </c>
      <c r="C146" s="13">
        <f>'ОДДС 2010'!C187</f>
        <v>11000</v>
      </c>
      <c r="D146" s="3">
        <f>'ОДДС 2010'!C343</f>
        <v>11000</v>
      </c>
      <c r="E146" s="3">
        <f t="shared" si="2"/>
        <v>0</v>
      </c>
    </row>
    <row r="147" spans="1:5" ht="26.25">
      <c r="A147" s="89">
        <f>'ОДДС 2010'!A188</f>
        <v>43</v>
      </c>
      <c r="B147" s="68" t="str">
        <f>'ОДДС 2010'!B188</f>
        <v>ООО "ДЭП "Эдельвейс" уборка и вывоз снега техникой</v>
      </c>
      <c r="C147" s="13">
        <f>'ОДДС 2010'!C188</f>
        <v>36111.34</v>
      </c>
      <c r="D147" s="3">
        <f>'ОДДС 2010'!C344</f>
        <v>36111.34</v>
      </c>
      <c r="E147" s="3">
        <f t="shared" si="2"/>
        <v>0</v>
      </c>
    </row>
    <row r="148" spans="1:5" ht="15">
      <c r="A148" s="89">
        <f>'ОДДС 2010'!A189</f>
        <v>44</v>
      </c>
      <c r="B148" s="68" t="str">
        <f>'ОДДС 2010'!B189</f>
        <v>ООО "Предприятие "ТАЭН"</v>
      </c>
      <c r="C148" s="13">
        <f>'ОДДС 2010'!C189</f>
        <v>30700</v>
      </c>
      <c r="D148" s="3">
        <f>'ОДДС 2010'!C345</f>
        <v>30700</v>
      </c>
      <c r="E148" s="3">
        <f t="shared" si="2"/>
        <v>0</v>
      </c>
    </row>
    <row r="149" spans="1:5" ht="15">
      <c r="A149" s="132"/>
      <c r="B149" s="90" t="str">
        <f>'ОДДС 2010'!B190</f>
        <v>сантехматериалы</v>
      </c>
      <c r="C149" s="53">
        <f>'ОДДС 2010'!C190</f>
        <v>15700</v>
      </c>
      <c r="D149" s="4">
        <f>'ОДДС 2010'!C346</f>
        <v>15700</v>
      </c>
      <c r="E149" s="4">
        <f t="shared" si="2"/>
        <v>0</v>
      </c>
    </row>
    <row r="150" spans="1:5" ht="15">
      <c r="A150" s="132"/>
      <c r="B150" s="90" t="str">
        <f>'ОДДС 2010'!B191</f>
        <v>Промывка теплообменника </v>
      </c>
      <c r="C150" s="53">
        <f>'ОДДС 2010'!C191</f>
        <v>15000</v>
      </c>
      <c r="D150" s="4">
        <f>'ОДДС 2010'!C347</f>
        <v>15000</v>
      </c>
      <c r="E150" s="4">
        <f t="shared" si="2"/>
        <v>0</v>
      </c>
    </row>
    <row r="151" spans="1:5" ht="26.25">
      <c r="A151" s="89">
        <f>'ОДДС 2010'!A192</f>
        <v>45</v>
      </c>
      <c r="B151" s="68" t="str">
        <f>'ОДДС 2010'!B192</f>
        <v>ИП Лугинин Н.Е. (лакокрасочные материалы,кисти,щетки)</v>
      </c>
      <c r="C151" s="13">
        <f>'ОДДС 2010'!C192</f>
        <v>3660</v>
      </c>
      <c r="D151" s="3">
        <f>'ОДДС 2010'!C348</f>
        <v>3660</v>
      </c>
      <c r="E151" s="3">
        <f t="shared" si="2"/>
        <v>0</v>
      </c>
    </row>
    <row r="152" spans="1:5" ht="26.25">
      <c r="A152" s="89">
        <f>'ОДДС 2010'!A193</f>
        <v>46</v>
      </c>
      <c r="B152" s="68" t="str">
        <f>'ОДДС 2010'!B193</f>
        <v>ООО "Горшкоф-Офис" (канц. товары)</v>
      </c>
      <c r="C152" s="13">
        <f>'ОДДС 2010'!C193</f>
        <v>3332.8599999999997</v>
      </c>
      <c r="D152" s="3">
        <f>'ОДДС 2010'!C349</f>
        <v>3332.8599999999997</v>
      </c>
      <c r="E152" s="3">
        <f t="shared" si="2"/>
        <v>0</v>
      </c>
    </row>
    <row r="153" spans="1:5" ht="15">
      <c r="A153" s="89">
        <f>'ОДДС 2010'!A194</f>
        <v>47</v>
      </c>
      <c r="B153" s="68" t="str">
        <f>'ОДДС 2010'!B194</f>
        <v>ООО "Сотня" (шкаф архивный)</v>
      </c>
      <c r="C153" s="13">
        <f>'ОДДС 2010'!C194</f>
        <v>10740</v>
      </c>
      <c r="D153" s="3">
        <f>'ОДДС 2010'!C350</f>
        <v>10740</v>
      </c>
      <c r="E153" s="3">
        <f t="shared" si="2"/>
        <v>0</v>
      </c>
    </row>
    <row r="154" spans="1:5" ht="15">
      <c r="A154" s="89">
        <f>'ОДДС 2010'!A195</f>
        <v>48</v>
      </c>
      <c r="B154" s="68" t="str">
        <f>'ОДДС 2010'!B195</f>
        <v>ООО "ИВП Крейт" </v>
      </c>
      <c r="C154" s="13">
        <f>'ОДДС 2010'!C195</f>
        <v>32756.8</v>
      </c>
      <c r="D154" s="3">
        <f>'ОДДС 2010'!C351</f>
        <v>32756.8</v>
      </c>
      <c r="E154" s="3">
        <f t="shared" si="2"/>
        <v>0</v>
      </c>
    </row>
    <row r="155" spans="1:5" ht="15">
      <c r="A155" s="132"/>
      <c r="B155" s="90" t="str">
        <f>'ОДДС 2010'!B196</f>
        <v>расходомеры Метран 2 шт.</v>
      </c>
      <c r="C155" s="53">
        <f>'ОДДС 2010'!C196</f>
        <v>32461.8</v>
      </c>
      <c r="D155" s="4">
        <f>'ОДДС 2010'!C352</f>
        <v>32461.8</v>
      </c>
      <c r="E155" s="4">
        <f t="shared" si="2"/>
        <v>0</v>
      </c>
    </row>
    <row r="156" spans="1:5" ht="15">
      <c r="A156" s="132"/>
      <c r="B156" s="90" t="str">
        <f>'ОДДС 2010'!B197</f>
        <v>Техпроверка Т17 № 3450</v>
      </c>
      <c r="C156" s="53">
        <f>'ОДДС 2010'!C197</f>
        <v>295</v>
      </c>
      <c r="D156" s="4">
        <f>'ОДДС 2010'!C353</f>
        <v>295</v>
      </c>
      <c r="E156" s="4">
        <f t="shared" si="2"/>
        <v>0</v>
      </c>
    </row>
    <row r="157" spans="1:5" ht="26.25">
      <c r="A157" s="89">
        <f>'ОДДС 2010'!A198</f>
        <v>49</v>
      </c>
      <c r="B157" s="68" t="str">
        <f>'ОДДС 2010'!B198</f>
        <v>ООО "ВИЗАВИ" аренда зала для проведения общего собрания</v>
      </c>
      <c r="C157" s="13">
        <f>'ОДДС 2010'!C198</f>
        <v>6000</v>
      </c>
      <c r="D157" s="3">
        <f>'ОДДС 2010'!C354</f>
        <v>6000</v>
      </c>
      <c r="E157" s="3">
        <f t="shared" si="2"/>
        <v>0</v>
      </c>
    </row>
    <row r="158" spans="1:5" ht="15">
      <c r="A158" s="89">
        <f>'ОДДС 2010'!A199</f>
        <v>50</v>
      </c>
      <c r="B158" s="68" t="str">
        <f>'ОДДС 2010'!B199</f>
        <v>ООО "УЦ "Промаудит"</v>
      </c>
      <c r="C158" s="13">
        <f>'ОДДС 2010'!C199</f>
        <v>3800</v>
      </c>
      <c r="D158" s="3">
        <f>'ОДДС 2010'!C355</f>
        <v>3800</v>
      </c>
      <c r="E158" s="3">
        <f t="shared" si="2"/>
        <v>0</v>
      </c>
    </row>
    <row r="159" spans="1:5" ht="51.75">
      <c r="A159" s="132"/>
      <c r="B159" s="90" t="str">
        <f>'ОДДС 2010'!B200</f>
        <v>Проведение предаттестационной подготовки и организации аттестации по: Промышленной безопасности Двойнишников</v>
      </c>
      <c r="C159" s="53">
        <f>'ОДДС 2010'!C200</f>
        <v>2000</v>
      </c>
      <c r="D159" s="4">
        <f>'ОДДС 2010'!C356</f>
        <v>2000</v>
      </c>
      <c r="E159" s="4">
        <f t="shared" si="2"/>
        <v>0</v>
      </c>
    </row>
    <row r="160" spans="1:5" ht="51.75">
      <c r="A160" s="132"/>
      <c r="B160" s="90" t="str">
        <f>'ОДДС 2010'!B201</f>
        <v>Проведение предаттестационной подготовки и организации аттестации по: Подъемным сооружениям Двойнишников</v>
      </c>
      <c r="C160" s="53">
        <f>'ОДДС 2010'!C201</f>
        <v>1800</v>
      </c>
      <c r="D160" s="4">
        <f>'ОДДС 2010'!C357</f>
        <v>1800</v>
      </c>
      <c r="E160" s="4">
        <f t="shared" si="2"/>
        <v>0</v>
      </c>
    </row>
    <row r="161" spans="1:5" ht="26.25">
      <c r="A161" s="89">
        <f>'ОДДС 2010'!A202</f>
        <v>51</v>
      </c>
      <c r="B161" s="68" t="str">
        <f>'ОДДС 2010'!B202</f>
        <v>ПМК-7 (транспортные услуги и спецтехника)</v>
      </c>
      <c r="C161" s="13">
        <f>'ОДДС 2010'!C202</f>
        <v>65600</v>
      </c>
      <c r="D161" s="3">
        <f>'ОДДС 2010'!C358</f>
        <v>44000</v>
      </c>
      <c r="E161" s="3">
        <f t="shared" si="2"/>
        <v>21600</v>
      </c>
    </row>
    <row r="162" spans="1:5" ht="15">
      <c r="A162" s="89">
        <f>'ОДДС 2010'!A203</f>
        <v>52</v>
      </c>
      <c r="B162" s="68" t="str">
        <f>'ОДДС 2010'!B203</f>
        <v>ООО ТК "Мегаполис" (хозтовары)</v>
      </c>
      <c r="C162" s="13">
        <f>'ОДДС 2010'!C203</f>
        <v>13112.12</v>
      </c>
      <c r="D162" s="3">
        <f>'ОДДС 2010'!C359</f>
        <v>13112.12</v>
      </c>
      <c r="E162" s="3">
        <f t="shared" si="2"/>
        <v>0</v>
      </c>
    </row>
    <row r="163" spans="1:5" ht="15">
      <c r="A163" s="132"/>
      <c r="B163" s="90" t="str">
        <f>'ОДДС 2010'!B204</f>
        <v>хозтовары</v>
      </c>
      <c r="C163" s="53">
        <f>'ОДДС 2010'!C204</f>
        <v>7059.12</v>
      </c>
      <c r="D163" s="4">
        <f>'ОДДС 2010'!C360</f>
        <v>7059.12</v>
      </c>
      <c r="E163" s="4">
        <f t="shared" si="2"/>
        <v>0</v>
      </c>
    </row>
    <row r="164" spans="1:5" ht="15">
      <c r="A164" s="132"/>
      <c r="B164" s="90" t="str">
        <f>'ОДДС 2010'!B205</f>
        <v>строительные материалы</v>
      </c>
      <c r="C164" s="53">
        <f>'ОДДС 2010'!C205</f>
        <v>6053</v>
      </c>
      <c r="D164" s="4">
        <f>'ОДДС 2010'!C361</f>
        <v>6053</v>
      </c>
      <c r="E164" s="4">
        <f t="shared" si="2"/>
        <v>0</v>
      </c>
    </row>
    <row r="165" spans="1:5" ht="26.25">
      <c r="A165" s="89">
        <f>'ОДДС 2010'!A206</f>
        <v>53</v>
      </c>
      <c r="B165" s="68" t="str">
        <f>'ОДДС 2010'!B206</f>
        <v>ТСЖ "Наш Дом" (аренда диспетчерской)</v>
      </c>
      <c r="C165" s="13">
        <f>'ОДДС 2010'!C206</f>
        <v>31536</v>
      </c>
      <c r="D165" s="3">
        <f>'ОДДС 2010'!C362</f>
        <v>15768</v>
      </c>
      <c r="E165" s="3">
        <f t="shared" si="2"/>
        <v>15768</v>
      </c>
    </row>
    <row r="166" spans="1:5" ht="15">
      <c r="A166" s="89">
        <f>'ОДДС 2010'!A207</f>
        <v>54</v>
      </c>
      <c r="B166" s="68" t="str">
        <f>'ОДДС 2010'!B207</f>
        <v>ЗАО "АКВАТЕРМ" (обследование)</v>
      </c>
      <c r="C166" s="13">
        <f>'ОДДС 2010'!C207</f>
        <v>2000</v>
      </c>
      <c r="D166" s="3">
        <f>'ОДДС 2010'!C363</f>
        <v>2000</v>
      </c>
      <c r="E166" s="3">
        <f t="shared" si="2"/>
        <v>0</v>
      </c>
    </row>
    <row r="167" spans="1:5" ht="26.25">
      <c r="A167" s="89">
        <f>'ОДДС 2010'!A208</f>
        <v>55</v>
      </c>
      <c r="B167" s="68" t="str">
        <f>'ОДДС 2010'!B208</f>
        <v>ООО "Технезис" (Вазон городской, 400х400 мм - 7 шт)</v>
      </c>
      <c r="C167" s="13">
        <f>'ОДДС 2010'!C208</f>
        <v>9100</v>
      </c>
      <c r="D167" s="3">
        <f>'ОДДС 2010'!C364</f>
        <v>9100</v>
      </c>
      <c r="E167" s="3">
        <f t="shared" si="2"/>
        <v>0</v>
      </c>
    </row>
    <row r="168" spans="1:5" ht="26.25">
      <c r="A168" s="89">
        <f>'ОДДС 2010'!A209</f>
        <v>56</v>
      </c>
      <c r="B168" s="68" t="str">
        <f>'ОДДС 2010'!B209</f>
        <v>ООО "Техпромсервис" (вывоз снега)</v>
      </c>
      <c r="C168" s="13">
        <f>'ОДДС 2010'!C209</f>
        <v>38000</v>
      </c>
      <c r="D168" s="3">
        <f>'ОДДС 2010'!C365</f>
        <v>38000</v>
      </c>
      <c r="E168" s="3">
        <f t="shared" si="2"/>
        <v>0</v>
      </c>
    </row>
    <row r="169" spans="1:5" ht="51.75">
      <c r="A169" s="89">
        <f>'ОДДС 2010'!A210</f>
        <v>57</v>
      </c>
      <c r="B169" s="68" t="str">
        <f>'ОДДС 2010'!B210</f>
        <v>ООО "Торговая компания "Светон" (приобретение общедомовых электросчетчиков и трансформаторов)</v>
      </c>
      <c r="C169" s="13">
        <f>'ОДДС 2010'!C210</f>
        <v>43959.740000000005</v>
      </c>
      <c r="D169" s="3">
        <f>'ОДДС 2010'!C366</f>
        <v>43959.740000000005</v>
      </c>
      <c r="E169" s="3">
        <f t="shared" si="2"/>
        <v>0</v>
      </c>
    </row>
    <row r="170" spans="1:5" ht="15">
      <c r="A170" s="89">
        <f>'ОДДС 2010'!A211</f>
        <v>58</v>
      </c>
      <c r="B170" s="109" t="str">
        <f>'ОДДС 2010'!B211</f>
        <v>АВАНСОВЫЕ ОТЧЕТЫ</v>
      </c>
      <c r="C170" s="13">
        <f>'ОДДС 2010'!C211</f>
        <v>146489.12</v>
      </c>
      <c r="D170" s="3">
        <f>'ОДДС 2010'!C367</f>
        <v>167248.44999999998</v>
      </c>
      <c r="E170" s="3"/>
    </row>
    <row r="171" spans="1:5" ht="15">
      <c r="A171" s="132"/>
      <c r="B171" s="90" t="str">
        <f>'ОДДС 2010'!B212</f>
        <v>2.2.3. почтовые расходы</v>
      </c>
      <c r="C171" s="53">
        <f>'ОДДС 2010'!C212</f>
        <v>2494.7699999999995</v>
      </c>
      <c r="D171" s="4">
        <f>'ОДДС 2010'!C368</f>
        <v>2494.7699999999995</v>
      </c>
      <c r="E171" s="4">
        <f t="shared" si="2"/>
        <v>0</v>
      </c>
    </row>
    <row r="172" spans="1:5" ht="51.75">
      <c r="A172" s="132"/>
      <c r="B172" s="90" t="str">
        <f>'ОДДС 2010'!B213</f>
        <v>2.2.4. канцелярские расходы, расходные материалы для оргтехники (картриджи, дискеты)(канцелярские расходы)</v>
      </c>
      <c r="C172" s="53">
        <f>'ОДДС 2010'!C213</f>
        <v>692.1</v>
      </c>
      <c r="D172" s="4">
        <f>'ОДДС 2010'!C369</f>
        <v>762.1</v>
      </c>
      <c r="E172" s="4"/>
    </row>
    <row r="173" spans="1:5" ht="26.25">
      <c r="A173" s="132"/>
      <c r="B173" s="90" t="str">
        <f>'ОДДС 2010'!B214</f>
        <v>2.3.6. приобретение электрозапчастей и ламп</v>
      </c>
      <c r="C173" s="53">
        <f>'ОДДС 2010'!C214</f>
        <v>6542.58</v>
      </c>
      <c r="D173" s="4">
        <f>'ОДДС 2010'!C370</f>
        <v>6992.58</v>
      </c>
      <c r="E173" s="4"/>
    </row>
    <row r="174" spans="1:5" ht="26.25">
      <c r="A174" s="132"/>
      <c r="B174" s="90" t="str">
        <f>'ОДДС 2010'!B215</f>
        <v>2.2.6. госпошлина по искам, нотариус, юридические расходы</v>
      </c>
      <c r="C174" s="53">
        <f>'ОДДС 2010'!C215</f>
        <v>545</v>
      </c>
      <c r="D174" s="4">
        <f>'ОДДС 2010'!C371</f>
        <v>545</v>
      </c>
      <c r="E174" s="4">
        <f t="shared" si="2"/>
        <v>0</v>
      </c>
    </row>
    <row r="175" spans="1:5" ht="39">
      <c r="A175" s="132"/>
      <c r="B175" s="90" t="str">
        <f>'ОДДС 2010'!B216</f>
        <v>2.7.4. приобретение запчастей, комплектующих, инструмента, хозинвентаря (хозтовары)</v>
      </c>
      <c r="C175" s="53">
        <f>'ОДДС 2010'!C216</f>
        <v>3680</v>
      </c>
      <c r="D175" s="4">
        <f>'ОДДС 2010'!C372</f>
        <v>3680</v>
      </c>
      <c r="E175" s="4">
        <f t="shared" si="2"/>
        <v>0</v>
      </c>
    </row>
    <row r="176" spans="1:5" ht="39">
      <c r="A176" s="132"/>
      <c r="B176" s="90" t="str">
        <f>'ОДДС 2010'!B217</f>
        <v>2.7.4. приобретение запчастей, комплектующих, инструмента, хозинвентаря (инструмент и МБП)</v>
      </c>
      <c r="C176" s="53">
        <f>'ОДДС 2010'!C217</f>
        <v>38710.99</v>
      </c>
      <c r="D176" s="4">
        <f>'ОДДС 2010'!C373</f>
        <v>40442.61</v>
      </c>
      <c r="E176" s="4"/>
    </row>
    <row r="177" spans="1:5" ht="39">
      <c r="A177" s="132"/>
      <c r="B177" s="90" t="str">
        <f>'ОДДС 2010'!B218</f>
        <v>2.3.10. непредвиденные расходы на ремонты, замену оборудования (клей, затирка, керамогранит)</v>
      </c>
      <c r="C177" s="53">
        <f>'ОДДС 2010'!C218</f>
        <v>1080</v>
      </c>
      <c r="D177" s="4">
        <f>'ОДДС 2010'!C374</f>
        <v>1080</v>
      </c>
      <c r="E177" s="4">
        <f aca="true" t="shared" si="3" ref="E177:E197">C177-D177</f>
        <v>0</v>
      </c>
    </row>
    <row r="178" spans="1:5" ht="51.75">
      <c r="A178" s="132"/>
      <c r="B178" s="90" t="str">
        <f>'ОДДС 2010'!B219</f>
        <v>2.9.1. устранение поломок (двери, окна, доводчики, ручки, светильники и т.д.)(войлок, защелки, шпингалеты)</v>
      </c>
      <c r="C178" s="53">
        <f>'ОДДС 2010'!C219</f>
        <v>9768.11</v>
      </c>
      <c r="D178" s="4">
        <f>'ОДДС 2010'!C375</f>
        <v>9768.11</v>
      </c>
      <c r="E178" s="4">
        <f t="shared" si="3"/>
        <v>0</v>
      </c>
    </row>
    <row r="179" spans="1:5" ht="64.5">
      <c r="A179" s="132"/>
      <c r="B179" s="90" t="str">
        <f>'ОДДС 2010'!B220</f>
        <v>2.2.4. канцелярские расходы, расходные материалы для оргтехники (картриджи, дискеты)(оргтехника (ПК, МФУ, картриджи)</v>
      </c>
      <c r="C179" s="53">
        <f>'ОДДС 2010'!C220</f>
        <v>10571</v>
      </c>
      <c r="D179" s="4">
        <f>'ОДДС 2010'!C376</f>
        <v>10571</v>
      </c>
      <c r="E179" s="4">
        <f t="shared" si="3"/>
        <v>0</v>
      </c>
    </row>
    <row r="180" spans="1:5" ht="39">
      <c r="A180" s="132"/>
      <c r="B180" s="90" t="str">
        <f>'ОДДС 2010'!B221</f>
        <v>2.7.4. приобретение запчастей, комплектующих, инструмента, хозинвентаря(сантехматериалы)</v>
      </c>
      <c r="C180" s="53">
        <f>'ОДДС 2010'!C221</f>
        <v>19046.82</v>
      </c>
      <c r="D180" s="4">
        <f>'ОДДС 2010'!C377</f>
        <v>19078.920000000002</v>
      </c>
      <c r="E180" s="4"/>
    </row>
    <row r="181" spans="1:5" ht="15">
      <c r="A181" s="132"/>
      <c r="B181" s="90" t="str">
        <f>'ОДДС 2010'!B222</f>
        <v>замена труб ГВС (вне плана)</v>
      </c>
      <c r="C181" s="53">
        <f>'ОДДС 2010'!C222</f>
        <v>7557.450000000001</v>
      </c>
      <c r="D181" s="4">
        <f>'ОДДС 2010'!C378</f>
        <v>7557.450000000001</v>
      </c>
      <c r="E181" s="4">
        <f t="shared" si="3"/>
        <v>0</v>
      </c>
    </row>
    <row r="182" spans="1:5" ht="26.25">
      <c r="A182" s="132"/>
      <c r="B182" s="90" t="str">
        <f>'ОДДС 2010'!B223</f>
        <v>2.7.3. ремонт помещения мастерской ТСЖ у 1-го подъезда</v>
      </c>
      <c r="C182" s="53">
        <f>'ОДДС 2010'!C223</f>
        <v>8079.8</v>
      </c>
      <c r="D182" s="4">
        <f>'ОДДС 2010'!C379</f>
        <v>8079.8</v>
      </c>
      <c r="E182" s="4">
        <f t="shared" si="3"/>
        <v>0</v>
      </c>
    </row>
    <row r="183" spans="1:5" ht="26.25">
      <c r="A183" s="132"/>
      <c r="B183" s="90" t="str">
        <f>'ОДДС 2010'!B224</f>
        <v>транспортные расходы по завозу земли</v>
      </c>
      <c r="C183" s="53">
        <f>'ОДДС 2010'!C224</f>
        <v>1950</v>
      </c>
      <c r="D183" s="4">
        <f>'ОДДС 2010'!C380</f>
        <v>1950</v>
      </c>
      <c r="E183" s="4">
        <f t="shared" si="3"/>
        <v>0</v>
      </c>
    </row>
    <row r="184" spans="1:5" ht="39">
      <c r="A184" s="132"/>
      <c r="B184" s="90" t="str">
        <f>'ОДДС 2010'!B225</f>
        <v>2.7.5. непредвиденные расходы (ликвидация аварий и т.д.)(сантехматериалы)</v>
      </c>
      <c r="C184" s="53">
        <f>'ОДДС 2010'!C225</f>
        <v>677.3</v>
      </c>
      <c r="D184" s="4">
        <f>'ОДДС 2010'!C381</f>
        <v>677.3</v>
      </c>
      <c r="E184" s="4">
        <f t="shared" si="3"/>
        <v>0</v>
      </c>
    </row>
    <row r="185" spans="1:5" ht="15">
      <c r="A185" s="132"/>
      <c r="B185" s="90" t="str">
        <f>'ОДДС 2010'!B226</f>
        <v>2.8.1. прокос газонов (леска)</v>
      </c>
      <c r="C185" s="53">
        <f>'ОДДС 2010'!C226</f>
        <v>191</v>
      </c>
      <c r="D185" s="4">
        <f>'ОДДС 2010'!C382</f>
        <v>191</v>
      </c>
      <c r="E185" s="4">
        <f t="shared" si="3"/>
        <v>0</v>
      </c>
    </row>
    <row r="186" spans="1:5" ht="26.25">
      <c r="A186" s="132"/>
      <c r="B186" s="90" t="str">
        <f>'ОДДС 2010'!B227</f>
        <v>2.8.2. ремонт, покраска детской площадки</v>
      </c>
      <c r="C186" s="53">
        <f>'ОДДС 2010'!C227</f>
        <v>449</v>
      </c>
      <c r="D186" s="4">
        <f>'ОДДС 2010'!C383</f>
        <v>449</v>
      </c>
      <c r="E186" s="4">
        <f t="shared" si="3"/>
        <v>0</v>
      </c>
    </row>
    <row r="187" spans="1:5" ht="26.25">
      <c r="A187" s="132"/>
      <c r="B187" s="90" t="str">
        <f>'ОДДС 2010'!B228</f>
        <v>2.8.3. озеленение двора (высадка кустарников)</v>
      </c>
      <c r="C187" s="53">
        <f>'ОДДС 2010'!C228</f>
        <v>22113.2</v>
      </c>
      <c r="D187" s="4">
        <f>'ОДДС 2010'!C384</f>
        <v>22113.2</v>
      </c>
      <c r="E187" s="4">
        <f t="shared" si="3"/>
        <v>0</v>
      </c>
    </row>
    <row r="188" spans="1:5" ht="15">
      <c r="A188" s="132"/>
      <c r="B188" s="90" t="str">
        <f>'ОДДС 2010'!B229</f>
        <v>2.8.5. завоз песка, земли, отсева</v>
      </c>
      <c r="C188" s="53">
        <f>'ОДДС 2010'!C229</f>
        <v>9450</v>
      </c>
      <c r="D188" s="4">
        <f>'ОДДС 2010'!C385</f>
        <v>9450</v>
      </c>
      <c r="E188" s="4">
        <f t="shared" si="3"/>
        <v>0</v>
      </c>
    </row>
    <row r="189" spans="1:5" ht="39">
      <c r="A189" s="132"/>
      <c r="B189" s="90" t="str">
        <f>'ОДДС 2010'!B230</f>
        <v>2.10.2. реконструкция общедомовых узлов учета теплоэнергии согласно нового проекта</v>
      </c>
      <c r="C189" s="53">
        <f>'ОДДС 2010'!C230</f>
        <v>90</v>
      </c>
      <c r="D189" s="4">
        <f>'ОДДС 2010'!C386</f>
        <v>90</v>
      </c>
      <c r="E189" s="4">
        <f t="shared" si="3"/>
        <v>0</v>
      </c>
    </row>
    <row r="190" spans="1:5" ht="39">
      <c r="A190" s="132"/>
      <c r="B190" s="112" t="str">
        <f>'ОДДС 2010'!B231</f>
        <v>2.10.6. установка заборов на тротуаре на въезде во двор с ул. Сварщиков, на газоне у аптеки  </v>
      </c>
      <c r="C190" s="53">
        <f>'ОДДС 2010'!C231</f>
        <v>2800</v>
      </c>
      <c r="D190" s="4">
        <f>'ОДДС 2010'!C387</f>
        <v>2800</v>
      </c>
      <c r="E190" s="4">
        <f t="shared" si="3"/>
        <v>0</v>
      </c>
    </row>
    <row r="191" spans="1:5" ht="15">
      <c r="A191" s="132"/>
      <c r="B191" s="112" t="str">
        <f>'ОДДС 2010'!B232</f>
        <v>на подотчете</v>
      </c>
      <c r="C191" s="53">
        <f>'ОДДС 2010'!C232</f>
        <v>0</v>
      </c>
      <c r="D191" s="4">
        <f>'ОДДС 2010'!C388</f>
        <v>18475.61</v>
      </c>
      <c r="E191" s="4"/>
    </row>
    <row r="192" spans="1:5" ht="15">
      <c r="A192" s="89">
        <f>'ОДДС 2010'!A233</f>
        <v>59</v>
      </c>
      <c r="B192" s="68" t="str">
        <f>'ОДДС 2010'!B233</f>
        <v>госпошлина</v>
      </c>
      <c r="C192" s="13">
        <f>'ОДДС 2010'!C233</f>
        <v>5169.99</v>
      </c>
      <c r="D192" s="3">
        <f>'ОДДС 2010'!C389</f>
        <v>5169.99</v>
      </c>
      <c r="E192" s="3">
        <f t="shared" si="3"/>
        <v>0</v>
      </c>
    </row>
    <row r="193" spans="1:5" ht="15">
      <c r="A193" s="89">
        <f>'ОДДС 2010'!A234</f>
        <v>60</v>
      </c>
      <c r="B193" s="68" t="str">
        <f>'ОДДС 2010'!B234</f>
        <v>Налог на УСН</v>
      </c>
      <c r="C193" s="13">
        <f>'ОДДС 2010'!C234</f>
        <v>0</v>
      </c>
      <c r="D193" s="3">
        <f>'ОДДС 2010'!C390</f>
        <v>0</v>
      </c>
      <c r="E193" s="3">
        <f t="shared" si="3"/>
        <v>0</v>
      </c>
    </row>
    <row r="194" spans="1:5" ht="15">
      <c r="A194" s="89">
        <f>'ОДДС 2010'!A235</f>
        <v>61</v>
      </c>
      <c r="B194" s="68" t="str">
        <f>'ОДДС 2010'!B235</f>
        <v>ЕМУП "Спецавтобаза"</v>
      </c>
      <c r="C194" s="13">
        <f>'ОДДС 2010'!C235</f>
        <v>63424.53</v>
      </c>
      <c r="D194" s="3">
        <f>'ОДДС 2010'!C391</f>
        <v>76897.89000000001</v>
      </c>
      <c r="E194" s="3"/>
    </row>
    <row r="195" spans="1:5" ht="15">
      <c r="A195" s="89">
        <f>'ОДДС 2010'!A236</f>
        <v>62</v>
      </c>
      <c r="B195" s="68" t="str">
        <f>'ОДДС 2010'!B236</f>
        <v>МУП "Водоканал"</v>
      </c>
      <c r="C195" s="8">
        <f>'ОДДС 2010'!C236</f>
        <v>908851.1100000001</v>
      </c>
      <c r="D195" s="3">
        <f>'ОДДС 2010'!C392</f>
        <v>944101.91</v>
      </c>
      <c r="E195" s="3"/>
    </row>
    <row r="196" spans="1:5" ht="15">
      <c r="A196" s="89">
        <f>'ОДДС 2010'!A237</f>
        <v>63</v>
      </c>
      <c r="B196" s="68" t="str">
        <f>'ОДДС 2010'!B237</f>
        <v>ОАО "МК "Уралметпром"</v>
      </c>
      <c r="C196" s="8">
        <f>'ОДДС 2010'!C237</f>
        <v>1563458.4000000001</v>
      </c>
      <c r="D196" s="3">
        <f>'ОДДС 2010'!C393</f>
        <v>1125700.22</v>
      </c>
      <c r="E196" s="3">
        <f t="shared" si="3"/>
        <v>437758.18000000017</v>
      </c>
    </row>
    <row r="197" spans="1:5" ht="15">
      <c r="A197" s="89">
        <f>'ОДДС 2010'!A238</f>
        <v>64</v>
      </c>
      <c r="B197" s="68" t="str">
        <f>'ОДДС 2010'!B238</f>
        <v>ОАО "Екатеринбургэнергосбыт"</v>
      </c>
      <c r="C197" s="8">
        <f>'ОДДС 2010'!C238</f>
        <v>1964610.17</v>
      </c>
      <c r="D197" s="3">
        <f>'ОДДС 2010'!C394</f>
        <v>1938977.44</v>
      </c>
      <c r="E197" s="3">
        <f t="shared" si="3"/>
        <v>25632.72999999998</v>
      </c>
    </row>
    <row r="198" spans="1:5" ht="26.25">
      <c r="A198" s="89">
        <v>65</v>
      </c>
      <c r="B198" s="68" t="s">
        <v>369</v>
      </c>
      <c r="C198" s="8"/>
      <c r="D198" s="3">
        <f>'ОДДС 2010'!C395</f>
        <v>949741.29</v>
      </c>
      <c r="E198" s="130"/>
    </row>
    <row r="199" spans="1:5" ht="26.25">
      <c r="A199" s="132"/>
      <c r="B199" s="7" t="s">
        <v>370</v>
      </c>
      <c r="C199" s="8"/>
      <c r="D199" s="4">
        <f>'ОДДС 2010'!C396</f>
        <v>938994.29</v>
      </c>
      <c r="E199" s="130"/>
    </row>
    <row r="200" spans="1:5" ht="15">
      <c r="A200" s="132"/>
      <c r="B200" s="7" t="s">
        <v>30</v>
      </c>
      <c r="C200" s="8"/>
      <c r="D200" s="4">
        <f>'ОДДС 2010'!C397</f>
        <v>10747</v>
      </c>
      <c r="E200" s="130"/>
    </row>
    <row r="201" spans="1:5" s="137" customFormat="1" ht="15">
      <c r="A201" s="135"/>
      <c r="B201" s="133"/>
      <c r="C201" s="134">
        <f>SUMIF($A$47:$A$200,"&lt;&gt;",C47:C200)</f>
        <v>7943298.19</v>
      </c>
      <c r="D201" s="134">
        <f>SUMIF($A$47:$A$200,"&lt;&gt;",D47:D200)</f>
        <v>8446388.739999998</v>
      </c>
      <c r="E201" s="130"/>
    </row>
    <row r="202" spans="1:5" s="137" customFormat="1" ht="15">
      <c r="A202" s="135"/>
      <c r="C202" s="134"/>
      <c r="D202" s="136"/>
      <c r="E202" s="133"/>
    </row>
    <row r="203" spans="1:6" s="137" customFormat="1" ht="15">
      <c r="A203" s="135"/>
      <c r="B203" s="20"/>
      <c r="C203" s="66"/>
      <c r="D203" s="138"/>
      <c r="E203" s="66"/>
      <c r="F203" s="139"/>
    </row>
    <row r="204" spans="2:5" ht="15">
      <c r="B204" s="20"/>
      <c r="C204" s="9"/>
      <c r="D204" s="9"/>
      <c r="E204" s="9"/>
    </row>
    <row r="205" spans="2:5" ht="15">
      <c r="B205" s="178"/>
      <c r="C205" s="179"/>
      <c r="D205" s="179"/>
      <c r="E205" s="9"/>
    </row>
    <row r="206" spans="2:4" ht="15">
      <c r="B206" s="180"/>
      <c r="C206" s="181"/>
      <c r="D206" s="181"/>
    </row>
    <row r="207" spans="2:4" ht="15">
      <c r="B207" s="180"/>
      <c r="C207" s="180"/>
      <c r="D207" s="180"/>
    </row>
    <row r="208" spans="2:4" ht="15">
      <c r="B208" s="182"/>
      <c r="C208" s="181"/>
      <c r="D208" s="181"/>
    </row>
    <row r="209" spans="2:4" ht="15">
      <c r="B209" s="182"/>
      <c r="C209" s="181"/>
      <c r="D209" s="181"/>
    </row>
    <row r="210" spans="2:4" ht="15">
      <c r="B210" s="182"/>
      <c r="C210" s="181"/>
      <c r="D210" s="181"/>
    </row>
    <row r="211" spans="2:5" ht="15">
      <c r="B211" s="180"/>
      <c r="C211" s="181"/>
      <c r="D211" s="181"/>
      <c r="E211" s="56"/>
    </row>
    <row r="212" spans="2:4" ht="15">
      <c r="B212" s="183"/>
      <c r="C212" s="184"/>
      <c r="D212" s="185"/>
    </row>
    <row r="213" spans="2:4" ht="15">
      <c r="B213" s="180"/>
      <c r="C213" s="186"/>
      <c r="D213" s="181"/>
    </row>
    <row r="214" spans="2:4" ht="15">
      <c r="B214" s="180"/>
      <c r="C214" s="186"/>
      <c r="D214" s="181"/>
    </row>
    <row r="215" spans="2:4" ht="15">
      <c r="B215" s="180"/>
      <c r="C215" s="186"/>
      <c r="D215" s="181"/>
    </row>
    <row r="216" spans="2:4" ht="15">
      <c r="B216" s="180"/>
      <c r="C216" s="186"/>
      <c r="D216" s="181"/>
    </row>
    <row r="217" spans="2:4" ht="15">
      <c r="B217" s="180"/>
      <c r="C217" s="186"/>
      <c r="D217" s="181"/>
    </row>
    <row r="218" spans="2:4" ht="15">
      <c r="B218" s="180"/>
      <c r="C218" s="186"/>
      <c r="D218" s="181"/>
    </row>
  </sheetData>
  <sheetProtection/>
  <autoFilter ref="A46:F203"/>
  <mergeCells count="1">
    <mergeCell ref="B1:D1"/>
  </mergeCells>
  <printOptions/>
  <pageMargins left="0.7086614173228347" right="0.7086614173228347" top="0.35433070866141736" bottom="0.15748031496062992" header="0.31496062992125984" footer="0.31496062992125984"/>
  <pageSetup fitToHeight="6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34.00390625" style="0" customWidth="1"/>
    <col min="2" max="2" width="16.00390625" style="0" customWidth="1"/>
    <col min="3" max="3" width="10.7109375" style="0" customWidth="1"/>
    <col min="16" max="16" width="17.140625" style="0" customWidth="1"/>
  </cols>
  <sheetData>
    <row r="2" spans="1:16" ht="29.25" customHeight="1">
      <c r="A2" s="1" t="s">
        <v>75</v>
      </c>
      <c r="B2" s="1" t="s">
        <v>361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03" t="s">
        <v>171</v>
      </c>
    </row>
    <row r="3" spans="1:16" ht="15">
      <c r="A3" s="7" t="s">
        <v>76</v>
      </c>
      <c r="B3" s="102">
        <v>1000</v>
      </c>
      <c r="C3" s="3">
        <f aca="true" t="shared" si="0" ref="C3:C15">SUM(D3:O3)</f>
        <v>12000</v>
      </c>
      <c r="D3" s="4">
        <v>1000</v>
      </c>
      <c r="E3" s="4">
        <v>1000</v>
      </c>
      <c r="F3" s="4">
        <v>1000</v>
      </c>
      <c r="G3" s="4">
        <v>1000</v>
      </c>
      <c r="H3" s="4">
        <v>1000</v>
      </c>
      <c r="I3" s="4">
        <v>1000</v>
      </c>
      <c r="J3" s="4">
        <v>1000</v>
      </c>
      <c r="K3" s="4">
        <v>1000</v>
      </c>
      <c r="L3" s="4">
        <v>1000</v>
      </c>
      <c r="M3" s="4">
        <v>1000</v>
      </c>
      <c r="N3" s="4">
        <v>1000</v>
      </c>
      <c r="O3" s="4">
        <v>1000</v>
      </c>
      <c r="P3" s="21">
        <f aca="true" t="shared" si="1" ref="P3:P10">C3+B3-C19</f>
        <v>0</v>
      </c>
    </row>
    <row r="4" spans="1:16" ht="15">
      <c r="A4" s="7" t="s">
        <v>81</v>
      </c>
      <c r="B4" s="102">
        <v>0</v>
      </c>
      <c r="C4" s="3">
        <f t="shared" si="0"/>
        <v>12000</v>
      </c>
      <c r="D4" s="4">
        <v>1000</v>
      </c>
      <c r="E4" s="4">
        <v>1000</v>
      </c>
      <c r="F4" s="4">
        <v>1000</v>
      </c>
      <c r="G4" s="4">
        <v>1000</v>
      </c>
      <c r="H4" s="4">
        <v>1000</v>
      </c>
      <c r="I4" s="4">
        <v>1000</v>
      </c>
      <c r="J4" s="4">
        <v>1000</v>
      </c>
      <c r="K4" s="4">
        <v>1000</v>
      </c>
      <c r="L4" s="4">
        <v>1000</v>
      </c>
      <c r="M4" s="4">
        <v>1000</v>
      </c>
      <c r="N4" s="4">
        <v>1000</v>
      </c>
      <c r="O4" s="4">
        <v>1000</v>
      </c>
      <c r="P4" s="21">
        <f t="shared" si="1"/>
        <v>0</v>
      </c>
    </row>
    <row r="5" spans="1:16" ht="15">
      <c r="A5" s="7" t="s">
        <v>77</v>
      </c>
      <c r="B5" s="102">
        <v>2000</v>
      </c>
      <c r="C5" s="3">
        <f t="shared" si="0"/>
        <v>24000</v>
      </c>
      <c r="D5" s="4">
        <v>2000</v>
      </c>
      <c r="E5" s="4">
        <v>2000</v>
      </c>
      <c r="F5" s="4">
        <v>2000</v>
      </c>
      <c r="G5" s="4">
        <v>2000</v>
      </c>
      <c r="H5" s="4">
        <v>2000</v>
      </c>
      <c r="I5" s="4">
        <v>2000</v>
      </c>
      <c r="J5" s="4">
        <v>2000</v>
      </c>
      <c r="K5" s="4">
        <v>2000</v>
      </c>
      <c r="L5" s="4">
        <v>2000</v>
      </c>
      <c r="M5" s="4">
        <v>2000</v>
      </c>
      <c r="N5" s="4">
        <v>2000</v>
      </c>
      <c r="O5" s="4">
        <v>2000</v>
      </c>
      <c r="P5" s="21">
        <f t="shared" si="1"/>
        <v>2000</v>
      </c>
    </row>
    <row r="6" spans="1:16" ht="26.25">
      <c r="A6" s="7" t="s">
        <v>78</v>
      </c>
      <c r="B6" s="102">
        <v>3000</v>
      </c>
      <c r="C6" s="3">
        <f t="shared" si="0"/>
        <v>12000</v>
      </c>
      <c r="D6" s="4">
        <v>1000</v>
      </c>
      <c r="E6" s="4">
        <v>1000</v>
      </c>
      <c r="F6" s="4">
        <v>1000</v>
      </c>
      <c r="G6" s="4">
        <v>1000</v>
      </c>
      <c r="H6" s="4">
        <v>1000</v>
      </c>
      <c r="I6" s="4">
        <v>1000</v>
      </c>
      <c r="J6" s="4">
        <v>1000</v>
      </c>
      <c r="K6" s="4">
        <v>1000</v>
      </c>
      <c r="L6" s="4">
        <v>1000</v>
      </c>
      <c r="M6" s="4">
        <v>1000</v>
      </c>
      <c r="N6" s="4">
        <v>1000</v>
      </c>
      <c r="O6" s="4">
        <v>1000</v>
      </c>
      <c r="P6" s="21">
        <f t="shared" si="1"/>
        <v>0</v>
      </c>
    </row>
    <row r="7" spans="1:16" ht="15">
      <c r="A7" s="7" t="s">
        <v>79</v>
      </c>
      <c r="B7" s="102">
        <v>3000</v>
      </c>
      <c r="C7" s="3">
        <f t="shared" si="0"/>
        <v>12000</v>
      </c>
      <c r="D7" s="4">
        <v>1000</v>
      </c>
      <c r="E7" s="4">
        <v>1000</v>
      </c>
      <c r="F7" s="4">
        <v>1000</v>
      </c>
      <c r="G7" s="4">
        <v>1000</v>
      </c>
      <c r="H7" s="4">
        <v>1000</v>
      </c>
      <c r="I7" s="4">
        <v>1000</v>
      </c>
      <c r="J7" s="4">
        <v>1000</v>
      </c>
      <c r="K7" s="4">
        <v>1000</v>
      </c>
      <c r="L7" s="4">
        <v>1000</v>
      </c>
      <c r="M7" s="4">
        <v>1000</v>
      </c>
      <c r="N7" s="4">
        <v>1000</v>
      </c>
      <c r="O7" s="4">
        <v>1000</v>
      </c>
      <c r="P7" s="21">
        <f t="shared" si="1"/>
        <v>-1000</v>
      </c>
    </row>
    <row r="8" spans="1:16" ht="15">
      <c r="A8" s="7" t="s">
        <v>80</v>
      </c>
      <c r="B8" s="102">
        <v>9000</v>
      </c>
      <c r="C8" s="3">
        <f t="shared" si="0"/>
        <v>18000</v>
      </c>
      <c r="D8" s="4">
        <v>1500</v>
      </c>
      <c r="E8" s="4">
        <v>1500</v>
      </c>
      <c r="F8" s="4">
        <v>1500</v>
      </c>
      <c r="G8" s="4">
        <v>1500</v>
      </c>
      <c r="H8" s="4">
        <v>1500</v>
      </c>
      <c r="I8" s="4">
        <v>1500</v>
      </c>
      <c r="J8" s="4">
        <v>1500</v>
      </c>
      <c r="K8" s="4">
        <v>1500</v>
      </c>
      <c r="L8" s="4">
        <v>1500</v>
      </c>
      <c r="M8" s="4">
        <v>1500</v>
      </c>
      <c r="N8" s="4">
        <v>1500</v>
      </c>
      <c r="O8" s="4">
        <v>1500</v>
      </c>
      <c r="P8" s="21">
        <f t="shared" si="1"/>
        <v>7500</v>
      </c>
    </row>
    <row r="9" spans="1:16" ht="15">
      <c r="A9" s="7" t="s">
        <v>82</v>
      </c>
      <c r="B9" s="102">
        <v>0</v>
      </c>
      <c r="C9" s="3">
        <f t="shared" si="0"/>
        <v>6000</v>
      </c>
      <c r="D9" s="4">
        <v>500</v>
      </c>
      <c r="E9" s="4">
        <v>500</v>
      </c>
      <c r="F9" s="4">
        <v>500</v>
      </c>
      <c r="G9" s="4">
        <v>500</v>
      </c>
      <c r="H9" s="4">
        <v>500</v>
      </c>
      <c r="I9" s="4">
        <v>500</v>
      </c>
      <c r="J9" s="4">
        <v>500</v>
      </c>
      <c r="K9" s="4">
        <v>500</v>
      </c>
      <c r="L9" s="4">
        <v>500</v>
      </c>
      <c r="M9" s="4">
        <v>500</v>
      </c>
      <c r="N9" s="4">
        <v>500</v>
      </c>
      <c r="O9" s="4">
        <v>500</v>
      </c>
      <c r="P9" s="21">
        <f t="shared" si="1"/>
        <v>500</v>
      </c>
    </row>
    <row r="10" spans="1:16" ht="26.25">
      <c r="A10" s="7" t="s">
        <v>83</v>
      </c>
      <c r="B10" s="102">
        <v>0</v>
      </c>
      <c r="C10" s="3">
        <f t="shared" si="0"/>
        <v>12000</v>
      </c>
      <c r="D10" s="4">
        <v>1000</v>
      </c>
      <c r="E10" s="4">
        <v>1000</v>
      </c>
      <c r="F10" s="4">
        <v>1000</v>
      </c>
      <c r="G10" s="4">
        <v>1000</v>
      </c>
      <c r="H10" s="4">
        <v>1000</v>
      </c>
      <c r="I10" s="4">
        <v>1000</v>
      </c>
      <c r="J10" s="4">
        <v>1000</v>
      </c>
      <c r="K10" s="4">
        <v>1000</v>
      </c>
      <c r="L10" s="4">
        <v>1000</v>
      </c>
      <c r="M10" s="4">
        <v>1000</v>
      </c>
      <c r="N10" s="4">
        <v>1000</v>
      </c>
      <c r="O10" s="4">
        <v>1000</v>
      </c>
      <c r="P10" s="21">
        <f t="shared" si="1"/>
        <v>0</v>
      </c>
    </row>
    <row r="11" spans="1:16" ht="15">
      <c r="A11" s="7" t="s">
        <v>170</v>
      </c>
      <c r="B11" s="102">
        <v>0</v>
      </c>
      <c r="C11" s="3">
        <f t="shared" si="0"/>
        <v>18000</v>
      </c>
      <c r="D11" s="4">
        <v>1500</v>
      </c>
      <c r="E11" s="4">
        <v>1500</v>
      </c>
      <c r="F11" s="4">
        <v>1500</v>
      </c>
      <c r="G11" s="4">
        <v>1500</v>
      </c>
      <c r="H11" s="4">
        <v>1500</v>
      </c>
      <c r="I11" s="4">
        <v>1500</v>
      </c>
      <c r="J11" s="4">
        <v>1500</v>
      </c>
      <c r="K11" s="4">
        <v>1500</v>
      </c>
      <c r="L11" s="4">
        <v>1500</v>
      </c>
      <c r="M11" s="4">
        <v>1500</v>
      </c>
      <c r="N11" s="4">
        <v>1500</v>
      </c>
      <c r="O11" s="4">
        <v>1500</v>
      </c>
      <c r="P11" s="106">
        <f>B11+C11-C28</f>
        <v>0</v>
      </c>
    </row>
    <row r="12" spans="1:16" ht="26.25">
      <c r="A12" s="7" t="s">
        <v>84</v>
      </c>
      <c r="B12" s="102">
        <v>1000</v>
      </c>
      <c r="C12" s="3">
        <f t="shared" si="0"/>
        <v>12000</v>
      </c>
      <c r="D12" s="4">
        <v>1000</v>
      </c>
      <c r="E12" s="4">
        <v>1000</v>
      </c>
      <c r="F12" s="4">
        <v>1000</v>
      </c>
      <c r="G12" s="4">
        <v>1000</v>
      </c>
      <c r="H12" s="4">
        <v>1000</v>
      </c>
      <c r="I12" s="4">
        <v>1000</v>
      </c>
      <c r="J12" s="4">
        <v>1000</v>
      </c>
      <c r="K12" s="4">
        <v>1000</v>
      </c>
      <c r="L12" s="4">
        <v>1000</v>
      </c>
      <c r="M12" s="4">
        <v>1000</v>
      </c>
      <c r="N12" s="4">
        <v>1000</v>
      </c>
      <c r="O12" s="4">
        <v>1000</v>
      </c>
      <c r="P12" s="106">
        <f>B12+C12-C29</f>
        <v>1000</v>
      </c>
    </row>
    <row r="13" spans="1:16" ht="15">
      <c r="A13" s="7" t="s">
        <v>85</v>
      </c>
      <c r="B13" s="102">
        <v>3000</v>
      </c>
      <c r="C13" s="3">
        <f t="shared" si="0"/>
        <v>36000</v>
      </c>
      <c r="D13" s="4">
        <v>3000</v>
      </c>
      <c r="E13" s="4">
        <v>3000</v>
      </c>
      <c r="F13" s="4">
        <v>3000</v>
      </c>
      <c r="G13" s="4">
        <v>3000</v>
      </c>
      <c r="H13" s="4">
        <v>3000</v>
      </c>
      <c r="I13" s="4">
        <v>3000</v>
      </c>
      <c r="J13" s="4">
        <v>3000</v>
      </c>
      <c r="K13" s="4">
        <v>3000</v>
      </c>
      <c r="L13" s="4">
        <v>3000</v>
      </c>
      <c r="M13" s="4">
        <v>3000</v>
      </c>
      <c r="N13" s="4">
        <v>3000</v>
      </c>
      <c r="O13" s="4">
        <v>3000</v>
      </c>
      <c r="P13" s="106">
        <f>B13+C13-C30</f>
        <v>0</v>
      </c>
    </row>
    <row r="14" spans="1:16" ht="15">
      <c r="A14" s="7" t="s">
        <v>173</v>
      </c>
      <c r="B14" s="102">
        <v>0</v>
      </c>
      <c r="C14" s="3">
        <f t="shared" si="0"/>
        <v>8500</v>
      </c>
      <c r="D14" s="4">
        <v>0</v>
      </c>
      <c r="E14" s="4">
        <v>0</v>
      </c>
      <c r="F14" s="4">
        <v>0</v>
      </c>
      <c r="G14" s="4">
        <v>4500</v>
      </c>
      <c r="H14" s="4">
        <v>500</v>
      </c>
      <c r="I14" s="4">
        <v>500</v>
      </c>
      <c r="J14" s="4">
        <v>500</v>
      </c>
      <c r="K14" s="4">
        <v>500</v>
      </c>
      <c r="L14" s="4">
        <v>500</v>
      </c>
      <c r="M14" s="4">
        <v>500</v>
      </c>
      <c r="N14" s="4">
        <v>500</v>
      </c>
      <c r="O14" s="4">
        <v>500</v>
      </c>
      <c r="P14" s="106">
        <f>C14+B14-C31</f>
        <v>0</v>
      </c>
    </row>
    <row r="15" spans="1:16" ht="15">
      <c r="A15" s="7" t="s">
        <v>86</v>
      </c>
      <c r="B15" s="105">
        <f>SUM(B3:B14)</f>
        <v>22000</v>
      </c>
      <c r="C15" s="3">
        <f t="shared" si="0"/>
        <v>182500</v>
      </c>
      <c r="D15" s="3">
        <f aca="true" t="shared" si="2" ref="D15:O15">SUM(D3:D14)</f>
        <v>14500</v>
      </c>
      <c r="E15" s="3">
        <f t="shared" si="2"/>
        <v>14500</v>
      </c>
      <c r="F15" s="3">
        <f t="shared" si="2"/>
        <v>14500</v>
      </c>
      <c r="G15" s="3">
        <f t="shared" si="2"/>
        <v>19000</v>
      </c>
      <c r="H15" s="3">
        <f t="shared" si="2"/>
        <v>15000</v>
      </c>
      <c r="I15" s="3">
        <f t="shared" si="2"/>
        <v>15000</v>
      </c>
      <c r="J15" s="3">
        <f t="shared" si="2"/>
        <v>15000</v>
      </c>
      <c r="K15" s="3">
        <f t="shared" si="2"/>
        <v>15000</v>
      </c>
      <c r="L15" s="3">
        <f t="shared" si="2"/>
        <v>15000</v>
      </c>
      <c r="M15" s="3">
        <f t="shared" si="2"/>
        <v>15000</v>
      </c>
      <c r="N15" s="3">
        <f t="shared" si="2"/>
        <v>15000</v>
      </c>
      <c r="O15" s="3">
        <f t="shared" si="2"/>
        <v>15000</v>
      </c>
      <c r="P15" s="104">
        <f>SUM(P3:P13)</f>
        <v>10000</v>
      </c>
    </row>
    <row r="18" spans="1:15" ht="15">
      <c r="A18" s="1" t="s">
        <v>87</v>
      </c>
      <c r="B18" s="1"/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9</v>
      </c>
      <c r="L18" s="2" t="s">
        <v>10</v>
      </c>
      <c r="M18" s="2" t="s">
        <v>11</v>
      </c>
      <c r="N18" s="2" t="s">
        <v>12</v>
      </c>
      <c r="O18" s="2" t="s">
        <v>13</v>
      </c>
    </row>
    <row r="19" spans="1:15" ht="15">
      <c r="A19" s="7" t="s">
        <v>76</v>
      </c>
      <c r="B19" s="7"/>
      <c r="C19" s="3">
        <f aca="true" t="shared" si="3" ref="C19:C25">SUM(D19:O19)</f>
        <v>13000</v>
      </c>
      <c r="D19" s="4">
        <v>0</v>
      </c>
      <c r="E19" s="4">
        <v>0</v>
      </c>
      <c r="F19" s="4">
        <v>3000</v>
      </c>
      <c r="G19" s="4">
        <v>1000</v>
      </c>
      <c r="H19" s="4">
        <v>0</v>
      </c>
      <c r="I19" s="4">
        <v>3000</v>
      </c>
      <c r="J19" s="4">
        <v>0</v>
      </c>
      <c r="K19" s="4">
        <v>0</v>
      </c>
      <c r="L19" s="4">
        <v>0</v>
      </c>
      <c r="M19" s="4">
        <v>3000</v>
      </c>
      <c r="N19" s="4">
        <v>0</v>
      </c>
      <c r="O19" s="4">
        <v>3000</v>
      </c>
    </row>
    <row r="20" spans="1:15" ht="15">
      <c r="A20" s="7" t="s">
        <v>81</v>
      </c>
      <c r="B20" s="7"/>
      <c r="C20" s="3">
        <f t="shared" si="3"/>
        <v>12000</v>
      </c>
      <c r="D20" s="4">
        <v>0</v>
      </c>
      <c r="E20" s="4">
        <v>6000</v>
      </c>
      <c r="F20" s="4">
        <v>0</v>
      </c>
      <c r="G20" s="4">
        <v>0</v>
      </c>
      <c r="H20" s="4">
        <v>0</v>
      </c>
      <c r="I20" s="4">
        <v>0</v>
      </c>
      <c r="J20" s="4">
        <v>6000</v>
      </c>
      <c r="K20" s="4">
        <v>0</v>
      </c>
      <c r="L20" s="4">
        <v>0</v>
      </c>
      <c r="M20" s="4">
        <v>0</v>
      </c>
      <c r="N20" s="4">
        <v>0</v>
      </c>
      <c r="O20" s="4"/>
    </row>
    <row r="21" spans="1:15" ht="15">
      <c r="A21" s="7" t="s">
        <v>77</v>
      </c>
      <c r="B21" s="7"/>
      <c r="C21" s="3">
        <f t="shared" si="3"/>
        <v>24000</v>
      </c>
      <c r="D21" s="4">
        <v>2000</v>
      </c>
      <c r="E21" s="4">
        <v>0</v>
      </c>
      <c r="F21" s="4">
        <v>4000</v>
      </c>
      <c r="G21" s="4">
        <v>2000</v>
      </c>
      <c r="H21" s="4">
        <v>0</v>
      </c>
      <c r="I21" s="4">
        <v>0</v>
      </c>
      <c r="J21" s="4">
        <v>6000</v>
      </c>
      <c r="K21" s="4">
        <v>0</v>
      </c>
      <c r="L21" s="4">
        <v>4000</v>
      </c>
      <c r="M21" s="4">
        <v>2000</v>
      </c>
      <c r="N21" s="4">
        <v>2000</v>
      </c>
      <c r="O21" s="4">
        <v>2000</v>
      </c>
    </row>
    <row r="22" spans="1:15" ht="26.25">
      <c r="A22" s="7" t="s">
        <v>78</v>
      </c>
      <c r="B22" s="7"/>
      <c r="C22" s="3">
        <f t="shared" si="3"/>
        <v>15000</v>
      </c>
      <c r="D22" s="4">
        <v>3000</v>
      </c>
      <c r="E22" s="4">
        <v>0</v>
      </c>
      <c r="F22" s="4">
        <v>0</v>
      </c>
      <c r="G22" s="4">
        <v>6000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6000</v>
      </c>
      <c r="O22" s="4"/>
    </row>
    <row r="23" spans="1:15" ht="15">
      <c r="A23" s="7" t="s">
        <v>79</v>
      </c>
      <c r="B23" s="7"/>
      <c r="C23" s="3">
        <f t="shared" si="3"/>
        <v>16000</v>
      </c>
      <c r="D23" s="4">
        <v>0</v>
      </c>
      <c r="E23" s="4">
        <v>4000</v>
      </c>
      <c r="F23" s="4">
        <v>0</v>
      </c>
      <c r="G23" s="4">
        <v>4000</v>
      </c>
      <c r="H23" s="4">
        <v>0</v>
      </c>
      <c r="I23" s="4">
        <v>2000</v>
      </c>
      <c r="J23" s="4">
        <v>1000</v>
      </c>
      <c r="K23" s="4">
        <v>0</v>
      </c>
      <c r="L23" s="4">
        <v>1000</v>
      </c>
      <c r="M23" s="4">
        <v>1000</v>
      </c>
      <c r="N23" s="4">
        <v>1000</v>
      </c>
      <c r="O23" s="4">
        <v>2000</v>
      </c>
    </row>
    <row r="24" spans="1:15" ht="15">
      <c r="A24" s="7" t="s">
        <v>80</v>
      </c>
      <c r="B24" s="7"/>
      <c r="C24" s="3">
        <f t="shared" si="3"/>
        <v>19500</v>
      </c>
      <c r="D24" s="4">
        <v>0</v>
      </c>
      <c r="E24" s="4">
        <v>4500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15000</v>
      </c>
      <c r="L24" s="4">
        <v>0</v>
      </c>
      <c r="M24" s="4">
        <v>0</v>
      </c>
      <c r="N24" s="4">
        <v>0</v>
      </c>
      <c r="O24" s="4"/>
    </row>
    <row r="25" spans="1:15" ht="15">
      <c r="A25" s="7" t="s">
        <v>82</v>
      </c>
      <c r="B25" s="7"/>
      <c r="C25" s="3">
        <f t="shared" si="3"/>
        <v>5500</v>
      </c>
      <c r="D25" s="4">
        <v>0</v>
      </c>
      <c r="E25" s="4">
        <v>1000</v>
      </c>
      <c r="F25" s="4">
        <v>0</v>
      </c>
      <c r="G25" s="4">
        <v>500</v>
      </c>
      <c r="H25" s="4">
        <v>500</v>
      </c>
      <c r="I25" s="4">
        <v>500</v>
      </c>
      <c r="J25" s="4">
        <v>500</v>
      </c>
      <c r="K25" s="4">
        <v>500</v>
      </c>
      <c r="L25" s="4">
        <v>500</v>
      </c>
      <c r="M25" s="4">
        <v>500</v>
      </c>
      <c r="N25" s="4">
        <v>1000</v>
      </c>
      <c r="O25" s="4"/>
    </row>
    <row r="26" spans="1:15" ht="26.25">
      <c r="A26" s="7" t="s">
        <v>83</v>
      </c>
      <c r="B26" s="7"/>
      <c r="C26" s="3">
        <f aca="true" t="shared" si="4" ref="C26:C32">SUM(D26:O26)</f>
        <v>12000</v>
      </c>
      <c r="D26" s="4">
        <v>0</v>
      </c>
      <c r="E26" s="4">
        <v>0</v>
      </c>
      <c r="F26" s="4">
        <v>0</v>
      </c>
      <c r="G26" s="4">
        <v>0</v>
      </c>
      <c r="H26" s="4">
        <v>12000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/>
    </row>
    <row r="27" spans="1:15" ht="15">
      <c r="A27" s="129" t="s">
        <v>172</v>
      </c>
      <c r="B27" s="129"/>
      <c r="C27" s="13">
        <f t="shared" si="4"/>
        <v>12000</v>
      </c>
      <c r="D27" s="53">
        <v>0</v>
      </c>
      <c r="E27" s="53">
        <v>12000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/>
    </row>
    <row r="28" spans="1:15" ht="15">
      <c r="A28" s="7" t="s">
        <v>170</v>
      </c>
      <c r="B28" s="7"/>
      <c r="C28" s="3">
        <f t="shared" si="4"/>
        <v>18000</v>
      </c>
      <c r="D28" s="4">
        <v>0</v>
      </c>
      <c r="E28" s="4">
        <v>1500</v>
      </c>
      <c r="F28" s="4">
        <v>3000</v>
      </c>
      <c r="G28" s="4">
        <v>0</v>
      </c>
      <c r="H28" s="4">
        <v>1500</v>
      </c>
      <c r="I28" s="4">
        <v>1500</v>
      </c>
      <c r="J28" s="4">
        <v>1500</v>
      </c>
      <c r="K28" s="4">
        <v>1500</v>
      </c>
      <c r="L28" s="4">
        <v>1500</v>
      </c>
      <c r="M28" s="4">
        <v>1500</v>
      </c>
      <c r="N28" s="4">
        <v>3000</v>
      </c>
      <c r="O28" s="4">
        <v>1500</v>
      </c>
    </row>
    <row r="29" spans="1:15" ht="26.25">
      <c r="A29" s="7" t="s">
        <v>84</v>
      </c>
      <c r="B29" s="7"/>
      <c r="C29" s="3">
        <f t="shared" si="4"/>
        <v>12000</v>
      </c>
      <c r="D29" s="4">
        <v>1000</v>
      </c>
      <c r="E29" s="4">
        <v>1000</v>
      </c>
      <c r="F29" s="4">
        <v>1000</v>
      </c>
      <c r="G29" s="4">
        <v>1000</v>
      </c>
      <c r="H29" s="4">
        <v>1000</v>
      </c>
      <c r="I29" s="4">
        <v>1000</v>
      </c>
      <c r="J29" s="4">
        <v>1000</v>
      </c>
      <c r="K29" s="4">
        <v>0</v>
      </c>
      <c r="L29" s="4">
        <v>2000</v>
      </c>
      <c r="M29" s="4">
        <v>1000</v>
      </c>
      <c r="N29" s="4">
        <v>1000</v>
      </c>
      <c r="O29" s="4">
        <v>1000</v>
      </c>
    </row>
    <row r="30" spans="1:15" ht="15">
      <c r="A30" s="7" t="s">
        <v>85</v>
      </c>
      <c r="B30" s="7"/>
      <c r="C30" s="3">
        <f t="shared" si="4"/>
        <v>39000</v>
      </c>
      <c r="D30" s="4">
        <v>3000</v>
      </c>
      <c r="E30" s="4">
        <v>0</v>
      </c>
      <c r="F30" s="4">
        <v>0</v>
      </c>
      <c r="G30" s="4">
        <v>9000</v>
      </c>
      <c r="H30" s="4">
        <v>0</v>
      </c>
      <c r="I30" s="4">
        <v>0</v>
      </c>
      <c r="J30" s="4">
        <v>0</v>
      </c>
      <c r="K30" s="4">
        <v>0</v>
      </c>
      <c r="L30" s="4">
        <v>18000</v>
      </c>
      <c r="M30" s="4">
        <v>0</v>
      </c>
      <c r="N30" s="4">
        <v>6000</v>
      </c>
      <c r="O30" s="4">
        <v>3000</v>
      </c>
    </row>
    <row r="31" spans="1:15" ht="15">
      <c r="A31" s="7" t="s">
        <v>173</v>
      </c>
      <c r="B31" s="7"/>
      <c r="C31" s="3">
        <f t="shared" si="4"/>
        <v>8500</v>
      </c>
      <c r="D31" s="4">
        <v>0</v>
      </c>
      <c r="E31" s="4">
        <v>0</v>
      </c>
      <c r="F31" s="4">
        <v>0</v>
      </c>
      <c r="G31" s="4">
        <v>4500</v>
      </c>
      <c r="H31" s="4">
        <v>500</v>
      </c>
      <c r="I31" s="4">
        <v>500</v>
      </c>
      <c r="J31" s="4">
        <v>500</v>
      </c>
      <c r="K31" s="4">
        <v>500</v>
      </c>
      <c r="L31" s="4">
        <v>500</v>
      </c>
      <c r="M31" s="4">
        <v>500</v>
      </c>
      <c r="N31" s="4">
        <v>500</v>
      </c>
      <c r="O31" s="4">
        <v>500</v>
      </c>
    </row>
    <row r="32" spans="1:15" ht="15">
      <c r="A32" s="7" t="s">
        <v>86</v>
      </c>
      <c r="B32" s="7"/>
      <c r="C32" s="3">
        <f t="shared" si="4"/>
        <v>206500</v>
      </c>
      <c r="D32" s="3">
        <f aca="true" t="shared" si="5" ref="D32:N32">SUM(D19:D31)</f>
        <v>9000</v>
      </c>
      <c r="E32" s="3">
        <f t="shared" si="5"/>
        <v>30000</v>
      </c>
      <c r="F32" s="3">
        <f t="shared" si="5"/>
        <v>11000</v>
      </c>
      <c r="G32" s="3">
        <f t="shared" si="5"/>
        <v>28000</v>
      </c>
      <c r="H32" s="3">
        <f t="shared" si="5"/>
        <v>15500</v>
      </c>
      <c r="I32" s="3">
        <f t="shared" si="5"/>
        <v>8500</v>
      </c>
      <c r="J32" s="3">
        <f t="shared" si="5"/>
        <v>16500</v>
      </c>
      <c r="K32" s="3">
        <f t="shared" si="5"/>
        <v>17500</v>
      </c>
      <c r="L32" s="3">
        <f t="shared" si="5"/>
        <v>27500</v>
      </c>
      <c r="M32" s="3">
        <f t="shared" si="5"/>
        <v>9500</v>
      </c>
      <c r="N32" s="3">
        <f t="shared" si="5"/>
        <v>20500</v>
      </c>
      <c r="O32" s="3">
        <f>SUM(O19:O31)</f>
        <v>13000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zoomScale="75" zoomScaleNormal="75" workbookViewId="0" topLeftCell="A112">
      <selection activeCell="C136" sqref="C136"/>
    </sheetView>
  </sheetViews>
  <sheetFormatPr defaultColWidth="9.140625" defaultRowHeight="15"/>
  <cols>
    <col min="1" max="1" width="4.00390625" style="23" customWidth="1"/>
    <col min="2" max="2" width="8.7109375" style="23" customWidth="1"/>
    <col min="3" max="3" width="67.140625" style="23" customWidth="1"/>
    <col min="4" max="4" width="12.7109375" style="23" customWidth="1"/>
    <col min="5" max="5" width="18.140625" style="23" customWidth="1"/>
    <col min="6" max="6" width="20.57421875" style="23" customWidth="1"/>
  </cols>
  <sheetData>
    <row r="1" spans="5:6" ht="15.75">
      <c r="E1" s="24"/>
      <c r="F1" s="24"/>
    </row>
    <row r="3" spans="3:6" ht="15.75">
      <c r="C3" s="25" t="s">
        <v>92</v>
      </c>
      <c r="E3" s="24"/>
      <c r="F3" s="24"/>
    </row>
    <row r="4" spans="3:6" ht="15.75">
      <c r="C4" s="25" t="s">
        <v>93</v>
      </c>
      <c r="E4" s="24"/>
      <c r="F4" s="24"/>
    </row>
    <row r="5" ht="15.75">
      <c r="C5" s="25" t="s">
        <v>174</v>
      </c>
    </row>
    <row r="6" ht="15.75">
      <c r="C6" s="25"/>
    </row>
    <row r="7" spans="2:6" ht="15.75">
      <c r="B7" s="26"/>
      <c r="C7" s="27" t="s">
        <v>94</v>
      </c>
      <c r="D7" s="28" t="s">
        <v>95</v>
      </c>
      <c r="E7" s="141"/>
      <c r="F7" s="29"/>
    </row>
    <row r="8" spans="2:6" ht="15.75">
      <c r="B8" s="26">
        <v>1</v>
      </c>
      <c r="C8" s="27" t="s">
        <v>96</v>
      </c>
      <c r="D8" s="30">
        <v>15132.4</v>
      </c>
      <c r="E8" s="34"/>
      <c r="F8" s="31"/>
    </row>
    <row r="9" spans="2:6" ht="15.75">
      <c r="B9" s="26">
        <v>2</v>
      </c>
      <c r="C9" s="27" t="s">
        <v>97</v>
      </c>
      <c r="D9" s="30">
        <v>1858.7</v>
      </c>
      <c r="E9" s="34"/>
      <c r="F9" s="31"/>
    </row>
    <row r="10" spans="2:6" ht="15.75">
      <c r="B10" s="26">
        <v>3</v>
      </c>
      <c r="C10" s="27" t="s">
        <v>98</v>
      </c>
      <c r="D10" s="30">
        <v>1454.2</v>
      </c>
      <c r="E10" s="34"/>
      <c r="F10" s="31"/>
    </row>
    <row r="11" spans="1:6" ht="15.75">
      <c r="A11" s="35"/>
      <c r="B11" s="32"/>
      <c r="C11" s="33" t="s">
        <v>99</v>
      </c>
      <c r="D11" s="34">
        <v>18445.3</v>
      </c>
      <c r="E11" s="99"/>
      <c r="F11" s="31"/>
    </row>
    <row r="12" spans="2:6" ht="15.75">
      <c r="B12" s="26">
        <v>4</v>
      </c>
      <c r="C12" s="27" t="s">
        <v>100</v>
      </c>
      <c r="D12" s="36">
        <v>8</v>
      </c>
      <c r="E12" s="37"/>
      <c r="F12" s="37"/>
    </row>
    <row r="13" spans="2:6" ht="15.75">
      <c r="B13" s="26">
        <v>5</v>
      </c>
      <c r="C13" s="27" t="s">
        <v>101</v>
      </c>
      <c r="D13" s="36">
        <v>7</v>
      </c>
      <c r="E13" s="37"/>
      <c r="F13" s="37"/>
    </row>
    <row r="14" spans="2:6" ht="15.75">
      <c r="B14" s="26">
        <v>6</v>
      </c>
      <c r="C14" s="27" t="s">
        <v>102</v>
      </c>
      <c r="D14" s="36">
        <v>210</v>
      </c>
      <c r="E14" s="37"/>
      <c r="F14" s="37"/>
    </row>
    <row r="15" spans="2:6" ht="15.75">
      <c r="B15" s="26">
        <v>7</v>
      </c>
      <c r="C15" s="27" t="s">
        <v>103</v>
      </c>
      <c r="D15" s="36">
        <v>15</v>
      </c>
      <c r="E15" s="37"/>
      <c r="F15" s="37"/>
    </row>
    <row r="16" spans="2:6" ht="15.75">
      <c r="B16" s="26">
        <v>8</v>
      </c>
      <c r="C16" s="27" t="s">
        <v>104</v>
      </c>
      <c r="D16" s="36">
        <v>74</v>
      </c>
      <c r="E16" s="37"/>
      <c r="F16" s="37"/>
    </row>
    <row r="17" spans="1:6" ht="15.75">
      <c r="A17" s="35"/>
      <c r="B17" s="32"/>
      <c r="C17" s="33"/>
      <c r="D17" s="35"/>
      <c r="E17" s="34"/>
      <c r="F17" s="34"/>
    </row>
    <row r="18" spans="2:6" ht="30.75">
      <c r="B18" s="26" t="s">
        <v>0</v>
      </c>
      <c r="C18" s="26" t="s">
        <v>105</v>
      </c>
      <c r="D18" s="26" t="s">
        <v>376</v>
      </c>
      <c r="E18" s="28" t="s">
        <v>377</v>
      </c>
      <c r="F18" s="142" t="s">
        <v>378</v>
      </c>
    </row>
    <row r="19" spans="2:6" ht="15.75">
      <c r="B19" s="26">
        <v>1</v>
      </c>
      <c r="C19" s="26">
        <v>2</v>
      </c>
      <c r="D19" s="26">
        <v>3</v>
      </c>
      <c r="E19" s="26"/>
      <c r="F19" s="26"/>
    </row>
    <row r="20" spans="2:6" ht="15.75">
      <c r="B20" s="38">
        <v>1</v>
      </c>
      <c r="C20" s="39" t="s">
        <v>106</v>
      </c>
      <c r="D20" s="26"/>
      <c r="E20" s="26"/>
      <c r="F20" s="26"/>
    </row>
    <row r="21" spans="2:6" ht="15.75">
      <c r="B21" s="40" t="s">
        <v>107</v>
      </c>
      <c r="C21" s="41" t="s">
        <v>408</v>
      </c>
      <c r="D21" s="42">
        <v>0</v>
      </c>
      <c r="E21" s="50">
        <v>117981.06</v>
      </c>
      <c r="F21" s="57">
        <f>E21-D21</f>
        <v>117981.06</v>
      </c>
    </row>
    <row r="22" spans="2:6" ht="15.75">
      <c r="B22" s="40" t="s">
        <v>108</v>
      </c>
      <c r="C22" s="41" t="s">
        <v>175</v>
      </c>
      <c r="D22" s="42">
        <v>0</v>
      </c>
      <c r="E22" s="42"/>
      <c r="F22" s="42"/>
    </row>
    <row r="23" spans="2:6" ht="31.5">
      <c r="B23" s="40" t="s">
        <v>109</v>
      </c>
      <c r="C23" s="41" t="s">
        <v>110</v>
      </c>
      <c r="D23" s="42">
        <f>D24+D25+D26</f>
        <v>3139418</v>
      </c>
      <c r="E23" s="50">
        <f>SUM(E24:E26)</f>
        <v>3138173.7900000005</v>
      </c>
      <c r="F23" s="50">
        <f>SUM(F24:F26)</f>
        <v>-1244.2099999995844</v>
      </c>
    </row>
    <row r="24" spans="2:6" ht="15.75">
      <c r="B24" s="44"/>
      <c r="C24" s="45" t="s">
        <v>111</v>
      </c>
      <c r="D24" s="43">
        <v>2677816</v>
      </c>
      <c r="E24" s="22">
        <f>Сводный!C4</f>
        <v>2677109.1900000004</v>
      </c>
      <c r="F24" s="58">
        <f aca="true" t="shared" si="0" ref="F24:F29">E24-D24</f>
        <v>-706.8099999995902</v>
      </c>
    </row>
    <row r="25" spans="2:6" ht="15.75">
      <c r="B25" s="44"/>
      <c r="C25" s="45" t="s">
        <v>112</v>
      </c>
      <c r="D25" s="43">
        <v>328914</v>
      </c>
      <c r="E25" s="22">
        <f>Сводный!C5</f>
        <v>328441.56</v>
      </c>
      <c r="F25" s="58">
        <f t="shared" si="0"/>
        <v>-472.4400000000023</v>
      </c>
    </row>
    <row r="26" spans="2:6" ht="15.75">
      <c r="B26" s="44"/>
      <c r="C26" s="45" t="s">
        <v>113</v>
      </c>
      <c r="D26" s="43">
        <v>132688</v>
      </c>
      <c r="E26" s="22">
        <f>Сводный!C6</f>
        <v>132623.04</v>
      </c>
      <c r="F26" s="58">
        <f t="shared" si="0"/>
        <v>-64.95999999999185</v>
      </c>
    </row>
    <row r="27" spans="2:6" ht="15.75">
      <c r="B27" s="40" t="s">
        <v>114</v>
      </c>
      <c r="C27" s="41" t="s">
        <v>115</v>
      </c>
      <c r="D27" s="42">
        <v>150000</v>
      </c>
      <c r="E27" s="42">
        <f>Сводный!D39</f>
        <v>240500</v>
      </c>
      <c r="F27" s="57">
        <f t="shared" si="0"/>
        <v>90500</v>
      </c>
    </row>
    <row r="28" spans="2:6" ht="15.75">
      <c r="B28" s="40" t="s">
        <v>116</v>
      </c>
      <c r="C28" s="41" t="s">
        <v>60</v>
      </c>
      <c r="D28" s="42">
        <v>553359</v>
      </c>
      <c r="E28" s="50">
        <f>Сводный!C7</f>
        <v>553040.25</v>
      </c>
      <c r="F28" s="57">
        <f t="shared" si="0"/>
        <v>-318.75</v>
      </c>
    </row>
    <row r="29" spans="2:6" ht="15.75">
      <c r="B29" s="40" t="s">
        <v>117</v>
      </c>
      <c r="C29" s="41" t="s">
        <v>379</v>
      </c>
      <c r="D29" s="42">
        <v>0</v>
      </c>
      <c r="E29" s="52">
        <f>Сводный!D35+Сводный!D36+Сводный!D40</f>
        <v>37940.66</v>
      </c>
      <c r="F29" s="57">
        <f t="shared" si="0"/>
        <v>37940.66</v>
      </c>
    </row>
    <row r="30" spans="2:6" ht="15.75">
      <c r="B30" s="40"/>
      <c r="C30" s="41"/>
      <c r="D30" s="42"/>
      <c r="E30" s="52"/>
      <c r="F30" s="52"/>
    </row>
    <row r="31" spans="2:6" ht="15.75">
      <c r="B31" s="40" t="s">
        <v>118</v>
      </c>
      <c r="C31" s="46" t="s">
        <v>119</v>
      </c>
      <c r="D31" s="42">
        <f>D23+D27+D28</f>
        <v>3842777</v>
      </c>
      <c r="E31" s="50">
        <f>SUM(E24:E30)+E21</f>
        <v>4087635.7600000007</v>
      </c>
      <c r="F31" s="50">
        <f>SUM(F24:F30)+F21</f>
        <v>244858.76000000042</v>
      </c>
    </row>
    <row r="32" spans="3:6" ht="15.75">
      <c r="C32" s="46" t="s">
        <v>416</v>
      </c>
      <c r="D32" s="48">
        <f>D31-D28</f>
        <v>3289418</v>
      </c>
      <c r="E32" s="48">
        <f>E31-E28</f>
        <v>3534595.5100000007</v>
      </c>
      <c r="F32" s="48"/>
    </row>
    <row r="33" spans="2:6" ht="45.75">
      <c r="B33" s="49">
        <v>2</v>
      </c>
      <c r="C33" s="39" t="s">
        <v>120</v>
      </c>
      <c r="D33" s="43"/>
      <c r="E33" s="55" t="s">
        <v>380</v>
      </c>
      <c r="F33" s="28" t="s">
        <v>381</v>
      </c>
    </row>
    <row r="34" spans="2:6" ht="15.75">
      <c r="B34" s="49" t="s">
        <v>121</v>
      </c>
      <c r="C34" s="143" t="s">
        <v>176</v>
      </c>
      <c r="D34" s="144">
        <v>0</v>
      </c>
      <c r="E34" s="50">
        <v>0</v>
      </c>
      <c r="F34" s="54"/>
    </row>
    <row r="35" spans="2:6" ht="31.5">
      <c r="B35" s="49" t="s">
        <v>122</v>
      </c>
      <c r="C35" s="145" t="s">
        <v>123</v>
      </c>
      <c r="D35" s="144">
        <f>D36+D37+D38+D39+D40+D41+D42</f>
        <v>733696</v>
      </c>
      <c r="E35" s="57">
        <f>SUM(E36:E47)</f>
        <v>561849.24</v>
      </c>
      <c r="F35" s="57">
        <f>SUM(F36:F47)</f>
        <v>-171846.76</v>
      </c>
    </row>
    <row r="36" spans="2:6" ht="30.75">
      <c r="B36" s="51" t="s">
        <v>124</v>
      </c>
      <c r="C36" s="146" t="s">
        <v>382</v>
      </c>
      <c r="D36" s="147">
        <f>12000+1200</f>
        <v>13200</v>
      </c>
      <c r="E36" s="140">
        <f>Сводный!C115+Сводный!C123</f>
        <v>16858.510000000002</v>
      </c>
      <c r="F36" s="58">
        <f aca="true" t="shared" si="1" ref="F36:F46">E36-D36</f>
        <v>3658.510000000002</v>
      </c>
    </row>
    <row r="37" spans="2:6" ht="15.75">
      <c r="B37" s="51" t="s">
        <v>125</v>
      </c>
      <c r="C37" s="146" t="s">
        <v>126</v>
      </c>
      <c r="D37" s="147">
        <v>40000</v>
      </c>
      <c r="E37" s="140">
        <f>Сводный!C193</f>
        <v>0</v>
      </c>
      <c r="F37" s="58">
        <f t="shared" si="1"/>
        <v>-40000</v>
      </c>
    </row>
    <row r="38" spans="2:6" ht="15.75">
      <c r="B38" s="51" t="s">
        <v>127</v>
      </c>
      <c r="C38" s="146" t="s">
        <v>177</v>
      </c>
      <c r="D38" s="147">
        <v>4000</v>
      </c>
      <c r="E38" s="140">
        <f>Сводный!C171</f>
        <v>2494.7699999999995</v>
      </c>
      <c r="F38" s="58">
        <f t="shared" si="1"/>
        <v>-1505.2300000000005</v>
      </c>
    </row>
    <row r="39" spans="2:6" ht="30.75">
      <c r="B39" s="51" t="s">
        <v>128</v>
      </c>
      <c r="C39" s="146" t="s">
        <v>178</v>
      </c>
      <c r="D39" s="147">
        <v>30000</v>
      </c>
      <c r="E39" s="140">
        <f>Сводный!C172+Сводный!C179+Сводный!C152</f>
        <v>14595.96</v>
      </c>
      <c r="F39" s="58">
        <f t="shared" si="1"/>
        <v>-15404.04</v>
      </c>
    </row>
    <row r="40" spans="2:6" ht="30.75">
      <c r="B40" s="107" t="s">
        <v>179</v>
      </c>
      <c r="C40" s="146" t="s">
        <v>375</v>
      </c>
      <c r="D40" s="147">
        <v>16000</v>
      </c>
      <c r="E40" s="140">
        <f>Сводный!C158+Сводный!C128</f>
        <v>13485</v>
      </c>
      <c r="F40" s="58">
        <f t="shared" si="1"/>
        <v>-2515</v>
      </c>
    </row>
    <row r="41" spans="2:6" ht="15.75">
      <c r="B41" s="51" t="s">
        <v>180</v>
      </c>
      <c r="C41" s="146" t="s">
        <v>181</v>
      </c>
      <c r="D41" s="147">
        <v>25000</v>
      </c>
      <c r="E41" s="140">
        <f>Сводный!C192+Сводный!C174+Сводный!C144</f>
        <v>16060.99</v>
      </c>
      <c r="F41" s="58">
        <f t="shared" si="1"/>
        <v>-8939.01</v>
      </c>
    </row>
    <row r="42" spans="2:6" ht="15.75">
      <c r="B42" s="51" t="s">
        <v>182</v>
      </c>
      <c r="C42" s="146" t="s">
        <v>383</v>
      </c>
      <c r="D42" s="147">
        <v>605496</v>
      </c>
      <c r="E42" s="140">
        <f>Сводный!C48+Сводный!C50+Сводный!C53+Сводный!C49</f>
        <v>476054.15</v>
      </c>
      <c r="F42" s="58">
        <f t="shared" si="1"/>
        <v>-129441.84999999998</v>
      </c>
    </row>
    <row r="43" spans="2:6" ht="15.75">
      <c r="B43" s="51"/>
      <c r="C43" s="146" t="s">
        <v>384</v>
      </c>
      <c r="D43" s="147"/>
      <c r="E43" s="140">
        <f>Сводный!C80</f>
        <v>9600</v>
      </c>
      <c r="F43" s="58">
        <f t="shared" si="1"/>
        <v>9600</v>
      </c>
    </row>
    <row r="44" spans="2:6" ht="15.75">
      <c r="B44" s="51"/>
      <c r="C44" s="146" t="s">
        <v>385</v>
      </c>
      <c r="D44" s="147"/>
      <c r="E44" s="140">
        <f>Сводный!C134</f>
        <v>4975.58</v>
      </c>
      <c r="F44" s="58">
        <f t="shared" si="1"/>
        <v>4975.58</v>
      </c>
    </row>
    <row r="45" spans="2:6" ht="15.75">
      <c r="B45" s="51"/>
      <c r="C45" s="146" t="s">
        <v>386</v>
      </c>
      <c r="D45" s="147"/>
      <c r="E45" s="140">
        <f>Сводный!C132</f>
        <v>1724.28</v>
      </c>
      <c r="F45" s="58">
        <f t="shared" si="1"/>
        <v>1724.28</v>
      </c>
    </row>
    <row r="46" spans="2:6" ht="15.75">
      <c r="B46" s="51"/>
      <c r="C46" s="146" t="s">
        <v>387</v>
      </c>
      <c r="D46" s="147"/>
      <c r="E46" s="140">
        <f>Сводный!C157</f>
        <v>6000</v>
      </c>
      <c r="F46" s="58">
        <f t="shared" si="1"/>
        <v>6000</v>
      </c>
    </row>
    <row r="47" spans="2:6" ht="15.75">
      <c r="B47" s="51"/>
      <c r="C47" s="148"/>
      <c r="D47" s="147"/>
      <c r="E47" s="58"/>
      <c r="F47" s="58"/>
    </row>
    <row r="48" spans="2:6" ht="31.5">
      <c r="B48" s="49" t="s">
        <v>129</v>
      </c>
      <c r="C48" s="145" t="s">
        <v>130</v>
      </c>
      <c r="D48" s="144">
        <f>D49+D50+D51+D52+D53+D54+D55+D56+D57+D64</f>
        <v>863328</v>
      </c>
      <c r="E48" s="57">
        <f>SUM(E49:E64)</f>
        <v>1023237.4500000001</v>
      </c>
      <c r="F48" s="57">
        <f>SUM(F49:F64)</f>
        <v>159909.45</v>
      </c>
    </row>
    <row r="49" spans="2:6" ht="75.75">
      <c r="B49" s="149" t="s">
        <v>131</v>
      </c>
      <c r="C49" s="146" t="s">
        <v>388</v>
      </c>
      <c r="D49" s="150">
        <f>45544*12</f>
        <v>546528</v>
      </c>
      <c r="E49" s="140">
        <f>Сводный!C92</f>
        <v>639028</v>
      </c>
      <c r="F49" s="58">
        <f aca="true" t="shared" si="2" ref="F49:F57">E49-D49</f>
        <v>92500</v>
      </c>
    </row>
    <row r="50" spans="2:6" ht="30.75">
      <c r="B50" s="151" t="s">
        <v>132</v>
      </c>
      <c r="C50" s="146" t="s">
        <v>183</v>
      </c>
      <c r="D50" s="150">
        <f>4800*12</f>
        <v>57600</v>
      </c>
      <c r="E50" s="140">
        <f>Сводный!C101</f>
        <v>52200</v>
      </c>
      <c r="F50" s="58">
        <f t="shared" si="2"/>
        <v>-5400</v>
      </c>
    </row>
    <row r="51" spans="2:6" ht="15.75">
      <c r="B51" s="151" t="s">
        <v>133</v>
      </c>
      <c r="C51" s="146" t="s">
        <v>184</v>
      </c>
      <c r="D51" s="150">
        <v>20000</v>
      </c>
      <c r="E51" s="140">
        <f>Сводный!C87+Сводный!C169</f>
        <v>70166.06</v>
      </c>
      <c r="F51" s="58">
        <f t="shared" si="2"/>
        <v>50166.06</v>
      </c>
    </row>
    <row r="52" spans="2:6" ht="30.75">
      <c r="B52" s="151" t="s">
        <v>134</v>
      </c>
      <c r="C52" s="146" t="s">
        <v>185</v>
      </c>
      <c r="D52" s="150">
        <v>12000</v>
      </c>
      <c r="E52" s="140">
        <f>Сводный!C93</f>
        <v>17000</v>
      </c>
      <c r="F52" s="58">
        <f t="shared" si="2"/>
        <v>5000</v>
      </c>
    </row>
    <row r="53" spans="2:6" ht="15.75">
      <c r="B53" s="149" t="s">
        <v>135</v>
      </c>
      <c r="C53" s="146" t="s">
        <v>186</v>
      </c>
      <c r="D53" s="150">
        <v>30000</v>
      </c>
      <c r="E53" s="140">
        <f>Сводный!C104+Сводный!C156+Сводный!C166</f>
        <v>12188.65</v>
      </c>
      <c r="F53" s="58">
        <f t="shared" si="2"/>
        <v>-17811.35</v>
      </c>
    </row>
    <row r="54" spans="2:6" ht="15.75">
      <c r="B54" s="149" t="s">
        <v>187</v>
      </c>
      <c r="C54" s="146" t="s">
        <v>188</v>
      </c>
      <c r="D54" s="150">
        <v>6000</v>
      </c>
      <c r="E54" s="140">
        <f>Сводный!C135+Сводный!C173</f>
        <v>8215.86</v>
      </c>
      <c r="F54" s="58">
        <f t="shared" si="2"/>
        <v>2215.8600000000006</v>
      </c>
    </row>
    <row r="55" spans="2:6" ht="15.75">
      <c r="B55" s="149" t="s">
        <v>189</v>
      </c>
      <c r="C55" s="146" t="s">
        <v>190</v>
      </c>
      <c r="D55" s="150">
        <v>12000</v>
      </c>
      <c r="E55" s="140">
        <f>Сводный!C94+Сводный!C84+Сводный!C97+Сводный!C150</f>
        <v>43220.86</v>
      </c>
      <c r="F55" s="58">
        <f t="shared" si="2"/>
        <v>31220.86</v>
      </c>
    </row>
    <row r="56" spans="2:6" ht="15.75">
      <c r="B56" s="149" t="s">
        <v>191</v>
      </c>
      <c r="C56" s="146" t="s">
        <v>30</v>
      </c>
      <c r="D56" s="150">
        <f>12000*12</f>
        <v>144000</v>
      </c>
      <c r="E56" s="140">
        <f>Сводный!C52+Сводный!C165</f>
        <v>125999.40000000001</v>
      </c>
      <c r="F56" s="58">
        <f t="shared" si="2"/>
        <v>-18000.59999999999</v>
      </c>
    </row>
    <row r="57" spans="2:6" ht="15.75">
      <c r="B57" s="149" t="s">
        <v>192</v>
      </c>
      <c r="C57" s="146" t="s">
        <v>136</v>
      </c>
      <c r="D57" s="150">
        <v>20200</v>
      </c>
      <c r="E57" s="140">
        <f>Сводный!C61</f>
        <v>25288.62</v>
      </c>
      <c r="F57" s="58">
        <f t="shared" si="2"/>
        <v>5088.619999999999</v>
      </c>
    </row>
    <row r="58" spans="2:6" ht="15.75">
      <c r="B58" s="149" t="s">
        <v>192</v>
      </c>
      <c r="C58" s="146" t="s">
        <v>389</v>
      </c>
      <c r="D58" s="150"/>
      <c r="E58" s="58"/>
      <c r="F58" s="58"/>
    </row>
    <row r="59" spans="2:6" ht="30.75">
      <c r="B59" s="149" t="s">
        <v>193</v>
      </c>
      <c r="C59" s="146" t="s">
        <v>390</v>
      </c>
      <c r="D59" s="150"/>
      <c r="E59" s="58"/>
      <c r="F59" s="58"/>
    </row>
    <row r="60" spans="2:6" ht="15.75">
      <c r="B60" s="149" t="s">
        <v>391</v>
      </c>
      <c r="C60" s="146" t="s">
        <v>392</v>
      </c>
      <c r="D60" s="150"/>
      <c r="E60" s="58"/>
      <c r="F60" s="58"/>
    </row>
    <row r="61" spans="2:6" ht="15.75">
      <c r="B61" s="149" t="s">
        <v>393</v>
      </c>
      <c r="C61" s="146" t="s">
        <v>394</v>
      </c>
      <c r="D61" s="150"/>
      <c r="E61" s="58"/>
      <c r="F61" s="58"/>
    </row>
    <row r="62" spans="2:6" ht="30.75">
      <c r="B62" s="149" t="s">
        <v>395</v>
      </c>
      <c r="C62" s="146" t="s">
        <v>396</v>
      </c>
      <c r="D62" s="150"/>
      <c r="E62" s="58"/>
      <c r="F62" s="58"/>
    </row>
    <row r="63" spans="2:6" ht="15.75">
      <c r="B63" s="149" t="s">
        <v>397</v>
      </c>
      <c r="C63" s="146" t="s">
        <v>398</v>
      </c>
      <c r="D63" s="150"/>
      <c r="E63" s="58"/>
      <c r="F63" s="58"/>
    </row>
    <row r="64" spans="2:6" ht="31.5">
      <c r="B64" s="152" t="s">
        <v>193</v>
      </c>
      <c r="C64" s="153" t="s">
        <v>194</v>
      </c>
      <c r="D64" s="154">
        <v>15000</v>
      </c>
      <c r="E64" s="57">
        <f>SUM(E65:E67)</f>
        <v>29930</v>
      </c>
      <c r="F64" s="59">
        <f>E64-D64</f>
        <v>14930</v>
      </c>
    </row>
    <row r="65" spans="2:6" ht="15.75">
      <c r="B65" s="155"/>
      <c r="C65" s="146" t="s">
        <v>399</v>
      </c>
      <c r="D65" s="147">
        <v>15000</v>
      </c>
      <c r="E65" s="140">
        <f>Сводный!C149</f>
        <v>15700</v>
      </c>
      <c r="F65" s="58">
        <f>E65-D65</f>
        <v>700</v>
      </c>
    </row>
    <row r="66" spans="2:6" ht="15.75">
      <c r="B66" s="155"/>
      <c r="C66" s="146" t="s">
        <v>400</v>
      </c>
      <c r="D66" s="147"/>
      <c r="E66" s="140">
        <f>Сводный!C153</f>
        <v>10740</v>
      </c>
      <c r="F66" s="58">
        <f>E66-D66</f>
        <v>10740</v>
      </c>
    </row>
    <row r="67" spans="2:6" ht="15.75">
      <c r="B67" s="155"/>
      <c r="C67" s="148" t="s">
        <v>414</v>
      </c>
      <c r="D67" s="147"/>
      <c r="E67" s="140">
        <f>Сводный!C140</f>
        <v>3490</v>
      </c>
      <c r="F67" s="58"/>
    </row>
    <row r="68" spans="2:6" ht="31.5">
      <c r="B68" s="156" t="s">
        <v>137</v>
      </c>
      <c r="C68" s="157" t="s">
        <v>138</v>
      </c>
      <c r="D68" s="144">
        <v>1597024</v>
      </c>
      <c r="E68" s="59">
        <f>E35+E48</f>
        <v>1585086.69</v>
      </c>
      <c r="F68" s="59">
        <f aca="true" t="shared" si="3" ref="F68:F81">E68-D68</f>
        <v>-11937.310000000056</v>
      </c>
    </row>
    <row r="69" spans="2:6" ht="47.25">
      <c r="B69" s="156" t="s">
        <v>139</v>
      </c>
      <c r="C69" s="157" t="s">
        <v>140</v>
      </c>
      <c r="D69" s="144">
        <v>1447024</v>
      </c>
      <c r="E69" s="59">
        <f>E68-E27-E29</f>
        <v>1306646.03</v>
      </c>
      <c r="F69" s="59">
        <f t="shared" si="3"/>
        <v>-140377.96999999997</v>
      </c>
    </row>
    <row r="70" spans="2:6" ht="31.5">
      <c r="B70" s="158" t="s">
        <v>141</v>
      </c>
      <c r="C70" s="159" t="s">
        <v>142</v>
      </c>
      <c r="D70" s="144">
        <v>1692394</v>
      </c>
      <c r="E70" s="59">
        <f>E71+E100+E109</f>
        <v>1802288.8199999998</v>
      </c>
      <c r="F70" s="59">
        <f t="shared" si="3"/>
        <v>109894.81999999983</v>
      </c>
    </row>
    <row r="71" spans="2:6" ht="31.5">
      <c r="B71" s="158" t="s">
        <v>143</v>
      </c>
      <c r="C71" s="145" t="s">
        <v>195</v>
      </c>
      <c r="D71" s="144">
        <v>1503394</v>
      </c>
      <c r="E71" s="57">
        <f>SUM(E72:E76,E84:E99)</f>
        <v>1515796.89</v>
      </c>
      <c r="F71" s="59">
        <f t="shared" si="3"/>
        <v>12402.889999999898</v>
      </c>
    </row>
    <row r="72" spans="2:6" ht="30.75">
      <c r="B72" s="160" t="s">
        <v>196</v>
      </c>
      <c r="C72" s="146" t="s">
        <v>197</v>
      </c>
      <c r="D72" s="150">
        <v>384292.48</v>
      </c>
      <c r="E72" s="140">
        <f>Сводный!C51+Сводный!C67</f>
        <v>398089.6299999999</v>
      </c>
      <c r="F72" s="58">
        <f t="shared" si="3"/>
        <v>13797.149999999907</v>
      </c>
    </row>
    <row r="73" spans="2:6" ht="30.75">
      <c r="B73" s="160" t="s">
        <v>198</v>
      </c>
      <c r="C73" s="161" t="s">
        <v>199</v>
      </c>
      <c r="D73" s="150">
        <v>15000</v>
      </c>
      <c r="E73" s="140">
        <f>Сводный!C143</f>
        <v>13797</v>
      </c>
      <c r="F73" s="58">
        <f t="shared" si="3"/>
        <v>-1203</v>
      </c>
    </row>
    <row r="74" spans="2:6" ht="15.75">
      <c r="B74" s="162" t="s">
        <v>200</v>
      </c>
      <c r="C74" s="161" t="s">
        <v>201</v>
      </c>
      <c r="D74" s="150">
        <v>20000</v>
      </c>
      <c r="E74" s="140">
        <f>Сводный!C81+Сводный!C138+Сводный!C182</f>
        <v>37659.12</v>
      </c>
      <c r="F74" s="58">
        <f t="shared" si="3"/>
        <v>17659.120000000003</v>
      </c>
    </row>
    <row r="75" spans="2:6" ht="30.75">
      <c r="B75" s="160" t="s">
        <v>202</v>
      </c>
      <c r="C75" s="161" t="s">
        <v>203</v>
      </c>
      <c r="D75" s="150">
        <v>50000</v>
      </c>
      <c r="E75" s="140">
        <f>Сводный!C133+Сводный!C137+Сводный!C142+Сводный!C163+Сводный!C175+Сводный!C176+Сводный!C180+Сводный!C181+Сводный!C184</f>
        <v>117006.89000000001</v>
      </c>
      <c r="F75" s="58">
        <f t="shared" si="3"/>
        <v>67006.89000000001</v>
      </c>
    </row>
    <row r="76" spans="2:6" ht="31.5">
      <c r="B76" s="160" t="s">
        <v>204</v>
      </c>
      <c r="C76" s="153" t="s">
        <v>401</v>
      </c>
      <c r="D76" s="154">
        <v>20000</v>
      </c>
      <c r="E76" s="57">
        <f>SUM(E77:E83)</f>
        <v>77482.86</v>
      </c>
      <c r="F76" s="59">
        <f t="shared" si="3"/>
        <v>57482.86</v>
      </c>
    </row>
    <row r="77" spans="2:6" ht="15.75">
      <c r="B77" s="160"/>
      <c r="C77" s="146" t="s">
        <v>402</v>
      </c>
      <c r="D77" s="150">
        <v>20000</v>
      </c>
      <c r="E77" s="140">
        <f>Сводный!C108</f>
        <v>24410.16</v>
      </c>
      <c r="F77" s="58">
        <f t="shared" si="3"/>
        <v>4410.16</v>
      </c>
    </row>
    <row r="78" spans="2:6" ht="45.75">
      <c r="B78" s="160"/>
      <c r="C78" s="146" t="s">
        <v>311</v>
      </c>
      <c r="D78" s="150"/>
      <c r="E78" s="140">
        <f>Сводный!C85</f>
        <v>5241.72</v>
      </c>
      <c r="F78" s="58">
        <f t="shared" si="3"/>
        <v>5241.72</v>
      </c>
    </row>
    <row r="79" spans="2:6" ht="45.75">
      <c r="B79" s="160"/>
      <c r="C79" s="146" t="s">
        <v>304</v>
      </c>
      <c r="D79" s="150"/>
      <c r="E79" s="140">
        <f>Сводный!C83</f>
        <v>32759.04</v>
      </c>
      <c r="F79" s="58">
        <f t="shared" si="3"/>
        <v>32759.04</v>
      </c>
    </row>
    <row r="80" spans="2:6" ht="30.75">
      <c r="B80" s="160"/>
      <c r="C80" s="146" t="s">
        <v>299</v>
      </c>
      <c r="D80" s="150"/>
      <c r="E80" s="140">
        <f>Сводный!C69</f>
        <v>5896.08</v>
      </c>
      <c r="F80" s="58"/>
    </row>
    <row r="81" spans="2:6" ht="30.75">
      <c r="B81" s="160"/>
      <c r="C81" s="146" t="s">
        <v>344</v>
      </c>
      <c r="D81" s="150"/>
      <c r="E81" s="140">
        <f>Сводный!C58</f>
        <v>2620.86</v>
      </c>
      <c r="F81" s="58">
        <f t="shared" si="3"/>
        <v>2620.86</v>
      </c>
    </row>
    <row r="82" spans="2:6" ht="30.75">
      <c r="B82" s="160"/>
      <c r="C82" s="146" t="s">
        <v>315</v>
      </c>
      <c r="D82" s="150"/>
      <c r="E82" s="140">
        <f>Сводный!C89</f>
        <v>6555</v>
      </c>
      <c r="F82" s="58"/>
    </row>
    <row r="83" spans="2:6" ht="30.75">
      <c r="B83" s="160"/>
      <c r="C83" s="146" t="str">
        <f>'[2]смета 2011'!$C$67</f>
        <v>Итого затраты на управление и содержание общего имущества (стр. 2.1. + стр. 2.2.)</v>
      </c>
      <c r="D83" s="150"/>
      <c r="E83" s="58"/>
      <c r="F83" s="58"/>
    </row>
    <row r="84" spans="2:6" ht="15.75">
      <c r="B84" s="160" t="s">
        <v>205</v>
      </c>
      <c r="C84" s="146" t="s">
        <v>144</v>
      </c>
      <c r="D84" s="150">
        <v>297000</v>
      </c>
      <c r="E84" s="140">
        <f>Сводный!C100</f>
        <v>257200</v>
      </c>
      <c r="F84" s="58">
        <f aca="true" t="shared" si="4" ref="F84:F95">E84-D84</f>
        <v>-39800</v>
      </c>
    </row>
    <row r="85" spans="2:6" ht="15.75">
      <c r="B85" s="160" t="s">
        <v>206</v>
      </c>
      <c r="C85" s="146" t="s">
        <v>207</v>
      </c>
      <c r="D85" s="150">
        <f>1700*12</f>
        <v>20400</v>
      </c>
      <c r="E85" s="140">
        <f>Сводный!C119+Сводный!C121</f>
        <v>10400</v>
      </c>
      <c r="F85" s="58">
        <f t="shared" si="4"/>
        <v>-10000</v>
      </c>
    </row>
    <row r="86" spans="2:6" ht="30.75">
      <c r="B86" s="160" t="s">
        <v>208</v>
      </c>
      <c r="C86" s="146" t="s">
        <v>209</v>
      </c>
      <c r="D86" s="150">
        <v>100000</v>
      </c>
      <c r="E86" s="140">
        <f>Сводный!C118+Сводный!C120+Сводный!C122</f>
        <v>112101.94</v>
      </c>
      <c r="F86" s="58">
        <f t="shared" si="4"/>
        <v>12101.940000000002</v>
      </c>
    </row>
    <row r="87" spans="2:6" ht="15.75">
      <c r="B87" s="160" t="s">
        <v>210</v>
      </c>
      <c r="C87" s="146" t="s">
        <v>145</v>
      </c>
      <c r="D87" s="150">
        <f>6600*12</f>
        <v>79200</v>
      </c>
      <c r="E87" s="140">
        <f>Сводный!C109</f>
        <v>5966.32</v>
      </c>
      <c r="F87" s="58">
        <f t="shared" si="4"/>
        <v>-73233.68</v>
      </c>
    </row>
    <row r="88" spans="2:6" ht="15.75">
      <c r="B88" s="160" t="s">
        <v>211</v>
      </c>
      <c r="C88" s="146" t="s">
        <v>146</v>
      </c>
      <c r="D88" s="150">
        <f>25000*12</f>
        <v>300000</v>
      </c>
      <c r="E88" s="140">
        <f>Сводный!C107</f>
        <v>283161.7099999999</v>
      </c>
      <c r="F88" s="58">
        <f t="shared" si="4"/>
        <v>-16838.290000000095</v>
      </c>
    </row>
    <row r="89" spans="2:6" ht="15.75">
      <c r="B89" s="160" t="s">
        <v>212</v>
      </c>
      <c r="C89" s="146" t="s">
        <v>213</v>
      </c>
      <c r="D89" s="150">
        <f>1700*D12</f>
        <v>13600</v>
      </c>
      <c r="E89" s="140">
        <f>Сводный!C110</f>
        <v>13600</v>
      </c>
      <c r="F89" s="58">
        <f t="shared" si="4"/>
        <v>0</v>
      </c>
    </row>
    <row r="90" spans="2:6" ht="15.75">
      <c r="B90" s="160" t="s">
        <v>214</v>
      </c>
      <c r="C90" s="146" t="s">
        <v>215</v>
      </c>
      <c r="D90" s="150">
        <v>500</v>
      </c>
      <c r="E90" s="140">
        <f>Сводный!C127</f>
        <v>0</v>
      </c>
      <c r="F90" s="58">
        <f t="shared" si="4"/>
        <v>-500</v>
      </c>
    </row>
    <row r="91" spans="2:6" ht="30.75">
      <c r="B91" s="160" t="s">
        <v>216</v>
      </c>
      <c r="C91" s="146" t="s">
        <v>147</v>
      </c>
      <c r="D91" s="150">
        <v>8400</v>
      </c>
      <c r="E91" s="140">
        <f>Сводный!C124</f>
        <v>7528.56</v>
      </c>
      <c r="F91" s="58">
        <f t="shared" si="4"/>
        <v>-871.4399999999996</v>
      </c>
    </row>
    <row r="92" spans="2:6" ht="15.75">
      <c r="B92" s="160" t="s">
        <v>217</v>
      </c>
      <c r="C92" s="146" t="s">
        <v>148</v>
      </c>
      <c r="D92" s="150">
        <v>2000</v>
      </c>
      <c r="E92" s="140">
        <f>Сводный!C76</f>
        <v>2280</v>
      </c>
      <c r="F92" s="58">
        <f t="shared" si="4"/>
        <v>280</v>
      </c>
    </row>
    <row r="93" spans="2:6" ht="15.75">
      <c r="B93" s="160" t="s">
        <v>218</v>
      </c>
      <c r="C93" s="146" t="s">
        <v>153</v>
      </c>
      <c r="D93" s="150">
        <f>8000*12</f>
        <v>96000</v>
      </c>
      <c r="E93" s="140">
        <f>Сводный!C139+Сводный!C194</f>
        <v>86153.01999999999</v>
      </c>
      <c r="F93" s="58">
        <f t="shared" si="4"/>
        <v>-9846.98000000001</v>
      </c>
    </row>
    <row r="94" spans="2:6" ht="30.75">
      <c r="B94" s="160" t="s">
        <v>219</v>
      </c>
      <c r="C94" s="146" t="s">
        <v>220</v>
      </c>
      <c r="D94" s="150">
        <f>4830*12</f>
        <v>57960</v>
      </c>
      <c r="E94" s="140">
        <f>Сводный!C112</f>
        <v>57960</v>
      </c>
      <c r="F94" s="58">
        <f t="shared" si="4"/>
        <v>0</v>
      </c>
    </row>
    <row r="95" spans="2:6" ht="30.75">
      <c r="B95" s="160" t="s">
        <v>221</v>
      </c>
      <c r="C95" s="146" t="s">
        <v>149</v>
      </c>
      <c r="D95" s="150">
        <f>0.215*$D$8*12</f>
        <v>39041.592</v>
      </c>
      <c r="E95" s="140">
        <f>Сводный!C114</f>
        <v>35409.840000000004</v>
      </c>
      <c r="F95" s="58">
        <f t="shared" si="4"/>
        <v>-3631.751999999993</v>
      </c>
    </row>
    <row r="96" spans="2:6" ht="15.75">
      <c r="B96" s="158"/>
      <c r="C96" s="148"/>
      <c r="D96" s="147"/>
      <c r="E96" s="58"/>
      <c r="F96" s="58">
        <f>'[1]Сводный'!D90</f>
        <v>0</v>
      </c>
    </row>
    <row r="97" spans="2:6" ht="15.75">
      <c r="B97" s="158"/>
      <c r="C97" s="148"/>
      <c r="D97" s="147"/>
      <c r="E97" s="58"/>
      <c r="F97" s="58"/>
    </row>
    <row r="98" spans="2:6" ht="15.75">
      <c r="B98" s="158"/>
      <c r="C98" s="148"/>
      <c r="D98" s="147"/>
      <c r="E98" s="58"/>
      <c r="F98" s="58">
        <f>'[1]Сводный'!D82+'[1]Сводный'!D83</f>
        <v>0</v>
      </c>
    </row>
    <row r="99" spans="2:6" ht="15.75">
      <c r="B99" s="158"/>
      <c r="C99" s="148"/>
      <c r="D99" s="147"/>
      <c r="E99" s="58"/>
      <c r="F99" s="58">
        <f>'[1]Сводный'!D84</f>
        <v>0</v>
      </c>
    </row>
    <row r="100" spans="2:6" ht="15.75">
      <c r="B100" s="158" t="s">
        <v>150</v>
      </c>
      <c r="C100" s="163" t="s">
        <v>151</v>
      </c>
      <c r="D100" s="144">
        <f>D101+D102+D103+D104+D105</f>
        <v>169000</v>
      </c>
      <c r="E100" s="57">
        <f>SUM(E101:E108)</f>
        <v>262442.5</v>
      </c>
      <c r="F100" s="59">
        <f aca="true" t="shared" si="5" ref="F100:F107">E100-D100</f>
        <v>93442.5</v>
      </c>
    </row>
    <row r="101" spans="2:6" ht="15.75">
      <c r="B101" s="151" t="s">
        <v>222</v>
      </c>
      <c r="C101" s="161" t="s">
        <v>152</v>
      </c>
      <c r="D101" s="150">
        <v>9000</v>
      </c>
      <c r="E101" s="140">
        <f>Сводный!C77+Сводный!C185+2000</f>
        <v>4156.360000000001</v>
      </c>
      <c r="F101" s="58">
        <f t="shared" si="5"/>
        <v>-4843.639999999999</v>
      </c>
    </row>
    <row r="102" spans="2:6" ht="15.75">
      <c r="B102" s="151" t="s">
        <v>223</v>
      </c>
      <c r="C102" s="161" t="s">
        <v>224</v>
      </c>
      <c r="D102" s="150">
        <v>15000</v>
      </c>
      <c r="E102" s="140">
        <f>Сводный!C151+Сводный!C74-2000+Сводный!C186+Сводный!C71</f>
        <v>8660.58</v>
      </c>
      <c r="F102" s="58">
        <f t="shared" si="5"/>
        <v>-6339.42</v>
      </c>
    </row>
    <row r="103" spans="2:6" ht="15.75">
      <c r="B103" s="151" t="s">
        <v>225</v>
      </c>
      <c r="C103" s="161" t="s">
        <v>226</v>
      </c>
      <c r="D103" s="150">
        <v>80000</v>
      </c>
      <c r="E103" s="140">
        <f>Сводный!C75+Сводный!C187+Сводный!C183</f>
        <v>30614.78</v>
      </c>
      <c r="F103" s="58">
        <f t="shared" si="5"/>
        <v>-49385.22</v>
      </c>
    </row>
    <row r="104" spans="2:6" ht="15.75">
      <c r="B104" s="151" t="s">
        <v>227</v>
      </c>
      <c r="C104" s="161" t="s">
        <v>228</v>
      </c>
      <c r="D104" s="150">
        <v>60000</v>
      </c>
      <c r="E104" s="140">
        <f>Сводный!C145+Сводный!C147+Сводный!C161+Сводный!C168</f>
        <v>170161.34</v>
      </c>
      <c r="F104" s="58">
        <f t="shared" si="5"/>
        <v>110161.34</v>
      </c>
    </row>
    <row r="105" spans="2:6" ht="15.75">
      <c r="B105" s="151" t="s">
        <v>229</v>
      </c>
      <c r="C105" s="161" t="s">
        <v>154</v>
      </c>
      <c r="D105" s="150">
        <v>5000</v>
      </c>
      <c r="E105" s="140">
        <f>Сводный!C188</f>
        <v>9450</v>
      </c>
      <c r="F105" s="58">
        <f t="shared" si="5"/>
        <v>4450</v>
      </c>
    </row>
    <row r="106" spans="2:6" ht="15.75">
      <c r="B106" s="155"/>
      <c r="C106" s="161" t="s">
        <v>403</v>
      </c>
      <c r="D106" s="147"/>
      <c r="E106" s="140">
        <f>Сводный!C125+Сводный!C126</f>
        <v>17916</v>
      </c>
      <c r="F106" s="58">
        <f t="shared" si="5"/>
        <v>17916</v>
      </c>
    </row>
    <row r="107" spans="2:6" ht="30.75">
      <c r="B107" s="155"/>
      <c r="C107" s="161" t="s">
        <v>404</v>
      </c>
      <c r="D107" s="147"/>
      <c r="E107" s="140">
        <f>Сводный!C78</f>
        <v>10483.44</v>
      </c>
      <c r="F107" s="58">
        <f t="shared" si="5"/>
        <v>10483.44</v>
      </c>
    </row>
    <row r="108" spans="2:6" ht="15.75">
      <c r="B108" s="155"/>
      <c r="C108" s="164" t="s">
        <v>413</v>
      </c>
      <c r="D108" s="147"/>
      <c r="E108" s="140">
        <f>Сводный!C146</f>
        <v>11000</v>
      </c>
      <c r="F108" s="58"/>
    </row>
    <row r="109" spans="2:6" ht="47.25">
      <c r="B109" s="158" t="s">
        <v>155</v>
      </c>
      <c r="C109" s="163" t="s">
        <v>167</v>
      </c>
      <c r="D109" s="144">
        <v>20000</v>
      </c>
      <c r="E109" s="57">
        <f>SUM(E110:E115)</f>
        <v>24049.43</v>
      </c>
      <c r="F109" s="59">
        <f aca="true" t="shared" si="6" ref="F109:F122">E109-D109</f>
        <v>4049.4300000000003</v>
      </c>
    </row>
    <row r="110" spans="2:6" ht="30.75">
      <c r="B110" s="160" t="s">
        <v>230</v>
      </c>
      <c r="C110" s="146" t="s">
        <v>231</v>
      </c>
      <c r="D110" s="150">
        <v>20000</v>
      </c>
      <c r="E110" s="140">
        <f>Сводный!C178+Сводный!C55</f>
        <v>10423.61</v>
      </c>
      <c r="F110" s="58">
        <f t="shared" si="6"/>
        <v>-9576.39</v>
      </c>
    </row>
    <row r="111" spans="2:6" ht="15.75">
      <c r="B111" s="158"/>
      <c r="C111" s="146" t="s">
        <v>405</v>
      </c>
      <c r="D111" s="147"/>
      <c r="E111" s="140">
        <f>Сводный!C177</f>
        <v>1080</v>
      </c>
      <c r="F111" s="58">
        <f t="shared" si="6"/>
        <v>1080</v>
      </c>
    </row>
    <row r="112" spans="2:6" ht="15.75">
      <c r="B112" s="158"/>
      <c r="C112" s="146" t="s">
        <v>412</v>
      </c>
      <c r="D112" s="147"/>
      <c r="E112" s="140">
        <f>Сводный!C65</f>
        <v>2751.96</v>
      </c>
      <c r="F112" s="58">
        <f t="shared" si="6"/>
        <v>2751.96</v>
      </c>
    </row>
    <row r="113" spans="2:6" ht="15.75">
      <c r="B113" s="158"/>
      <c r="C113" s="146" t="s">
        <v>406</v>
      </c>
      <c r="D113" s="147"/>
      <c r="E113" s="140">
        <f>Сводный!C164</f>
        <v>6053</v>
      </c>
      <c r="F113" s="58">
        <f t="shared" si="6"/>
        <v>6053</v>
      </c>
    </row>
    <row r="114" spans="2:6" ht="15.75">
      <c r="B114" s="158"/>
      <c r="C114" s="146" t="s">
        <v>409</v>
      </c>
      <c r="D114" s="147"/>
      <c r="E114" s="140">
        <f>Сводный!C113</f>
        <v>1120</v>
      </c>
      <c r="F114" s="58"/>
    </row>
    <row r="115" spans="2:6" ht="30.75">
      <c r="B115" s="158"/>
      <c r="C115" s="146" t="s">
        <v>288</v>
      </c>
      <c r="D115" s="147"/>
      <c r="E115" s="140">
        <f>Сводный!C56</f>
        <v>2620.86</v>
      </c>
      <c r="F115" s="58">
        <f t="shared" si="6"/>
        <v>2620.86</v>
      </c>
    </row>
    <row r="116" spans="2:6" ht="15.75">
      <c r="B116" s="158" t="s">
        <v>156</v>
      </c>
      <c r="C116" s="163" t="s">
        <v>157</v>
      </c>
      <c r="D116" s="144">
        <f>D117+D118+D119+D120+D121+D122</f>
        <v>385000</v>
      </c>
      <c r="E116" s="57">
        <f>SUM(E117:E123)</f>
        <v>119003</v>
      </c>
      <c r="F116" s="59">
        <f t="shared" si="6"/>
        <v>-265997</v>
      </c>
    </row>
    <row r="117" spans="2:6" ht="30.75">
      <c r="B117" s="160" t="s">
        <v>232</v>
      </c>
      <c r="C117" s="146" t="s">
        <v>233</v>
      </c>
      <c r="D117" s="150">
        <v>75000</v>
      </c>
      <c r="E117" s="140">
        <f>Сводный!C105</f>
        <v>30000</v>
      </c>
      <c r="F117" s="58">
        <f t="shared" si="6"/>
        <v>-45000</v>
      </c>
    </row>
    <row r="118" spans="2:6" ht="30.75">
      <c r="B118" s="160" t="s">
        <v>234</v>
      </c>
      <c r="C118" s="146" t="s">
        <v>235</v>
      </c>
      <c r="D118" s="150">
        <v>150000</v>
      </c>
      <c r="E118" s="140">
        <f>Сводный!C59+Сводный!C155+Сводный!C189+Сводный!C60</f>
        <v>77103</v>
      </c>
      <c r="F118" s="58">
        <f t="shared" si="6"/>
        <v>-72897</v>
      </c>
    </row>
    <row r="119" spans="2:6" ht="30.75">
      <c r="B119" s="160" t="s">
        <v>236</v>
      </c>
      <c r="C119" s="146" t="s">
        <v>237</v>
      </c>
      <c r="D119" s="150">
        <v>30000</v>
      </c>
      <c r="E119" s="140">
        <v>0</v>
      </c>
      <c r="F119" s="58">
        <f t="shared" si="6"/>
        <v>-30000</v>
      </c>
    </row>
    <row r="120" spans="2:6" ht="15.75">
      <c r="B120" s="160" t="s">
        <v>238</v>
      </c>
      <c r="C120" s="146" t="s">
        <v>239</v>
      </c>
      <c r="D120" s="150">
        <v>50000</v>
      </c>
      <c r="E120" s="140">
        <v>0</v>
      </c>
      <c r="F120" s="58">
        <f t="shared" si="6"/>
        <v>-50000</v>
      </c>
    </row>
    <row r="121" spans="2:6" ht="30.75">
      <c r="B121" s="149" t="s">
        <v>240</v>
      </c>
      <c r="C121" s="161" t="s">
        <v>241</v>
      </c>
      <c r="D121" s="150">
        <v>40000</v>
      </c>
      <c r="E121" s="140">
        <v>0</v>
      </c>
      <c r="F121" s="58">
        <f t="shared" si="6"/>
        <v>-40000</v>
      </c>
    </row>
    <row r="122" spans="2:6" ht="30.75">
      <c r="B122" s="149" t="s">
        <v>242</v>
      </c>
      <c r="C122" s="146" t="s">
        <v>407</v>
      </c>
      <c r="D122" s="150">
        <v>40000</v>
      </c>
      <c r="E122" s="140">
        <f>Сводный!C167+Сводный!C190</f>
        <v>11900</v>
      </c>
      <c r="F122" s="58">
        <f t="shared" si="6"/>
        <v>-28100</v>
      </c>
    </row>
    <row r="123" spans="2:6" ht="15.75">
      <c r="B123" s="165"/>
      <c r="C123" s="146" t="str">
        <f>'[2]смета 2011'!$C89</f>
        <v>уборка механизированных способом и вывоз снега</v>
      </c>
      <c r="D123" s="147"/>
      <c r="E123" s="58"/>
      <c r="F123" s="58">
        <f>'[1]Сводный'!D79</f>
        <v>0</v>
      </c>
    </row>
    <row r="124" spans="2:6" ht="15.75">
      <c r="B124" s="158" t="s">
        <v>158</v>
      </c>
      <c r="C124" s="163" t="s">
        <v>159</v>
      </c>
      <c r="D124" s="144">
        <v>168359</v>
      </c>
      <c r="E124" s="166">
        <f>E28-E116</f>
        <v>434037.25</v>
      </c>
      <c r="F124" s="59">
        <f>E124-D124</f>
        <v>265678.25</v>
      </c>
    </row>
    <row r="125" spans="2:6" ht="15.75">
      <c r="B125" s="158"/>
      <c r="C125" s="167"/>
      <c r="D125" s="147"/>
      <c r="E125" s="58"/>
      <c r="F125" s="58"/>
    </row>
    <row r="126" spans="2:6" ht="15.75">
      <c r="B126" s="158" t="s">
        <v>160</v>
      </c>
      <c r="C126" s="163" t="s">
        <v>161</v>
      </c>
      <c r="D126" s="144">
        <v>0</v>
      </c>
      <c r="E126" s="58"/>
      <c r="F126" s="58"/>
    </row>
    <row r="127" spans="2:6" ht="15.75">
      <c r="B127" s="158"/>
      <c r="C127" s="163"/>
      <c r="D127" s="144"/>
      <c r="E127" s="58"/>
      <c r="F127" s="58"/>
    </row>
    <row r="128" spans="2:6" ht="15.75">
      <c r="B128" s="158" t="s">
        <v>162</v>
      </c>
      <c r="C128" s="163" t="s">
        <v>163</v>
      </c>
      <c r="D128" s="144"/>
      <c r="E128" s="57">
        <f>SUM(E129:E131)</f>
        <v>0</v>
      </c>
      <c r="F128" s="57">
        <f>SUM(F129:F131)</f>
        <v>0</v>
      </c>
    </row>
    <row r="129" spans="2:6" ht="15.75">
      <c r="B129" s="168"/>
      <c r="C129" s="169"/>
      <c r="D129" s="170"/>
      <c r="E129" s="58"/>
      <c r="F129" s="58"/>
    </row>
    <row r="130" spans="2:6" ht="15.75">
      <c r="B130" s="168"/>
      <c r="C130" s="169"/>
      <c r="D130" s="171"/>
      <c r="E130" s="58"/>
      <c r="F130" s="58"/>
    </row>
    <row r="131" spans="2:6" ht="15.75">
      <c r="B131" s="168"/>
      <c r="C131" s="169"/>
      <c r="D131" s="171"/>
      <c r="E131" s="58"/>
      <c r="F131" s="58"/>
    </row>
    <row r="132" spans="2:6" ht="15.75">
      <c r="B132" s="158"/>
      <c r="C132" s="163"/>
      <c r="D132" s="144"/>
      <c r="E132" s="22"/>
      <c r="F132" s="22"/>
    </row>
    <row r="133" spans="1:6" ht="15.75">
      <c r="A133" s="35"/>
      <c r="B133" s="172" t="s">
        <v>164</v>
      </c>
      <c r="C133" s="159" t="s">
        <v>165</v>
      </c>
      <c r="D133" s="144">
        <f>D35+D48+D100+D116+D124+D71+D109</f>
        <v>3842777</v>
      </c>
      <c r="E133" s="50">
        <f>E35+E48+E100+E116+E124+E71+E109</f>
        <v>3940415.7600000002</v>
      </c>
      <c r="F133" s="59">
        <f>E133-D133</f>
        <v>97638.76000000024</v>
      </c>
    </row>
    <row r="134" spans="3:6" ht="15.75">
      <c r="C134" s="174" t="s">
        <v>415</v>
      </c>
      <c r="D134" s="175">
        <f>D35+D48+D100+D71+D109</f>
        <v>3289418</v>
      </c>
      <c r="E134" s="176">
        <f>E35+E48+E100+E71+E109</f>
        <v>3387375.5100000002</v>
      </c>
      <c r="F134" s="176">
        <f>F35+F48+F100+F71+F109</f>
        <v>97957.5099999999</v>
      </c>
    </row>
    <row r="135" spans="3:6" ht="15.75">
      <c r="C135" s="174" t="s">
        <v>417</v>
      </c>
      <c r="D135" s="175">
        <f>D31-D133</f>
        <v>0</v>
      </c>
      <c r="E135" s="176">
        <f>E31-E133</f>
        <v>147220.00000000047</v>
      </c>
      <c r="F135" s="47">
        <f>F31-F133</f>
        <v>147220.00000000017</v>
      </c>
    </row>
    <row r="136" spans="3:5" ht="15.75">
      <c r="C136" s="173"/>
      <c r="D136" s="173"/>
      <c r="E136" s="47"/>
    </row>
    <row r="137" spans="3:4" ht="15.75">
      <c r="C137" s="173"/>
      <c r="D137" s="173"/>
    </row>
    <row r="138" spans="3:6" ht="15.75">
      <c r="C138" s="173"/>
      <c r="D138" s="173"/>
      <c r="E138" s="47"/>
      <c r="F138" s="47"/>
    </row>
    <row r="139" spans="3:6" ht="15.75">
      <c r="C139" s="173"/>
      <c r="D139" s="173"/>
      <c r="E139" s="47"/>
      <c r="F139" s="47"/>
    </row>
    <row r="142" spans="5:6" ht="15.75">
      <c r="E142" s="47"/>
      <c r="F142" s="47"/>
    </row>
    <row r="144" ht="15.75">
      <c r="F144" s="100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Уралспецдеп1</dc:creator>
  <cp:keywords/>
  <dc:description/>
  <cp:lastModifiedBy>0305_buh5</cp:lastModifiedBy>
  <cp:lastPrinted>2010-09-10T06:12:58Z</cp:lastPrinted>
  <dcterms:created xsi:type="dcterms:W3CDTF">2010-02-15T07:44:57Z</dcterms:created>
  <dcterms:modified xsi:type="dcterms:W3CDTF">2011-05-03T03:36:16Z</dcterms:modified>
  <cp:category/>
  <cp:version/>
  <cp:contentType/>
  <cp:contentStatus/>
</cp:coreProperties>
</file>